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80" windowHeight="6030" activeTab="4"/>
  </bookViews>
  <sheets>
    <sheet name="Urata" sheetId="1" r:id="rId1"/>
    <sheet name="Neimark" sheetId="2" r:id="rId2"/>
    <sheet name="Goddard" sheetId="3" r:id="rId3"/>
    <sheet name="Alar" sheetId="4" r:id="rId4"/>
    <sheet name="DanielS" sheetId="5" r:id="rId5"/>
    <sheet name="Borodin" sheetId="6" r:id="rId6"/>
    <sheet name="OPLS-AA" sheetId="7" r:id="rId7"/>
  </sheets>
  <definedNames>
    <definedName name="bbib23" localSheetId="0">'Urata'!#REF!</definedName>
    <definedName name="bbib58" localSheetId="0">'Urata'!#REF!</definedName>
    <definedName name="bbib60" localSheetId="0">'Urata'!#REF!</definedName>
    <definedName name="btbl2fn1" localSheetId="0">'Urata'!$B$4</definedName>
    <definedName name="jp004082pt00001" localSheetId="0">'Neimark'!$A$3</definedName>
    <definedName name="solver_adj" localSheetId="5" hidden="1">'Borodin'!$P$90</definedName>
    <definedName name="solver_adj" localSheetId="4" hidden="1">'DanielS'!$F$28</definedName>
    <definedName name="solver_adj" localSheetId="2" hidden="1">'Goddard'!$L$64</definedName>
    <definedName name="solver_cvg" localSheetId="5" hidden="1">0.00001</definedName>
    <definedName name="solver_cvg" localSheetId="4" hidden="1">0.0001</definedName>
    <definedName name="solver_cvg" localSheetId="2" hidden="1">0.0001</definedName>
    <definedName name="solver_drv" localSheetId="5" hidden="1">2</definedName>
    <definedName name="solver_drv" localSheetId="4" hidden="1">1</definedName>
    <definedName name="solver_drv" localSheetId="2" hidden="1">1</definedName>
    <definedName name="solver_est" localSheetId="5" hidden="1">1</definedName>
    <definedName name="solver_est" localSheetId="4" hidden="1">1</definedName>
    <definedName name="solver_est" localSheetId="2" hidden="1">1</definedName>
    <definedName name="solver_itr" localSheetId="5" hidden="1">1000</definedName>
    <definedName name="solver_itr" localSheetId="4" hidden="1">100</definedName>
    <definedName name="solver_itr" localSheetId="2" hidden="1">100</definedName>
    <definedName name="solver_lhs1" localSheetId="5" hidden="1">'Borodin'!$P$90</definedName>
    <definedName name="solver_lhs1" localSheetId="4" hidden="1">'DanielS'!$F$28</definedName>
    <definedName name="solver_lhs1" localSheetId="2" hidden="1">'Goddard'!$L$64</definedName>
    <definedName name="solver_lhs2" localSheetId="5" hidden="1">'Borodin'!$M$90</definedName>
    <definedName name="solver_lhs2" localSheetId="4" hidden="1">'DanielS'!$H$4</definedName>
    <definedName name="solver_lhs3" localSheetId="5" hidden="1">'Borodin'!$M$90</definedName>
    <definedName name="solver_lin" localSheetId="5" hidden="1">2</definedName>
    <definedName name="solver_lin" localSheetId="4" hidden="1">2</definedName>
    <definedName name="solver_lin" localSheetId="2" hidden="1">2</definedName>
    <definedName name="solver_neg" localSheetId="5" hidden="1">2</definedName>
    <definedName name="solver_neg" localSheetId="4" hidden="1">2</definedName>
    <definedName name="solver_neg" localSheetId="2" hidden="1">2</definedName>
    <definedName name="solver_num" localSheetId="5" hidden="1">1</definedName>
    <definedName name="solver_num" localSheetId="4" hidden="1">1</definedName>
    <definedName name="solver_num" localSheetId="2" hidden="1">1</definedName>
    <definedName name="solver_nwt" localSheetId="5" hidden="1">1</definedName>
    <definedName name="solver_nwt" localSheetId="4" hidden="1">2</definedName>
    <definedName name="solver_nwt" localSheetId="2" hidden="1">1</definedName>
    <definedName name="solver_opt" localSheetId="5" hidden="1">'Borodin'!$S$90</definedName>
    <definedName name="solver_opt" localSheetId="4" hidden="1">'DanielS'!$G$28</definedName>
    <definedName name="solver_opt" localSheetId="2" hidden="1">'Goddard'!$N$64</definedName>
    <definedName name="solver_pre" localSheetId="5" hidden="1">0.0000001</definedName>
    <definedName name="solver_pre" localSheetId="4" hidden="1">0.000001</definedName>
    <definedName name="solver_pre" localSheetId="2" hidden="1">0.000001</definedName>
    <definedName name="solver_rel1" localSheetId="5" hidden="1">1</definedName>
    <definedName name="solver_rel1" localSheetId="4" hidden="1">3</definedName>
    <definedName name="solver_rel1" localSheetId="2" hidden="1">3</definedName>
    <definedName name="solver_rel2" localSheetId="5" hidden="1">3</definedName>
    <definedName name="solver_rel2" localSheetId="4" hidden="1">3</definedName>
    <definedName name="solver_rel3" localSheetId="5" hidden="1">3</definedName>
    <definedName name="solver_rhs1" localSheetId="5" hidden="1">-0.01</definedName>
    <definedName name="solver_rhs1" localSheetId="4" hidden="1">0</definedName>
    <definedName name="solver_rhs1" localSheetId="2" hidden="1">2</definedName>
    <definedName name="solver_rhs2" localSheetId="5" hidden="1">10</definedName>
    <definedName name="solver_rhs2" localSheetId="4" hidden="1">1</definedName>
    <definedName name="solver_rhs3" localSheetId="5" hidden="1">10</definedName>
    <definedName name="solver_scl" localSheetId="5" hidden="1">2</definedName>
    <definedName name="solver_scl" localSheetId="4" hidden="1">2</definedName>
    <definedName name="solver_scl" localSheetId="2" hidden="1">2</definedName>
    <definedName name="solver_sho" localSheetId="5" hidden="1">2</definedName>
    <definedName name="solver_sho" localSheetId="4" hidden="1">2</definedName>
    <definedName name="solver_sho" localSheetId="2" hidden="1">2</definedName>
    <definedName name="solver_tim" localSheetId="5" hidden="1">100</definedName>
    <definedName name="solver_tim" localSheetId="4" hidden="1">100</definedName>
    <definedName name="solver_tim" localSheetId="2" hidden="1">100</definedName>
    <definedName name="solver_tol" localSheetId="5" hidden="1">0.001</definedName>
    <definedName name="solver_tol" localSheetId="4" hidden="1">0.05</definedName>
    <definedName name="solver_tol" localSheetId="2" hidden="1">0.05</definedName>
    <definedName name="solver_typ" localSheetId="5" hidden="1">3</definedName>
    <definedName name="solver_typ" localSheetId="4" hidden="1">2</definedName>
    <definedName name="solver_typ" localSheetId="2" hidden="1">3</definedName>
    <definedName name="solver_val" localSheetId="5" hidden="1">0</definedName>
    <definedName name="solver_val" localSheetId="4" hidden="1">0</definedName>
    <definedName name="solver_val" localSheetId="2" hidden="1">0</definedName>
  </definedNames>
  <calcPr fullCalcOnLoad="1"/>
</workbook>
</file>

<file path=xl/sharedStrings.xml><?xml version="1.0" encoding="utf-8"?>
<sst xmlns="http://schemas.openxmlformats.org/spreadsheetml/2006/main" count="666" uniqueCount="383">
  <si>
    <t>Optimized C6 coefficients (in kcal/mol-Å6) in Eq. (1)</t>
  </si>
  <si>
    <t>Atom</t>
  </si>
  <si>
    <r>
      <t>C</t>
    </r>
    <r>
      <rPr>
        <b/>
        <vertAlign val="subscript"/>
        <sz val="7.5"/>
        <rFont val="Arial"/>
        <family val="0"/>
      </rPr>
      <t>6</t>
    </r>
  </si>
  <si>
    <t>S</t>
  </si>
  <si>
    <t>O</t>
  </si>
  <si>
    <t> OH</t>
  </si>
  <si>
    <t>H</t>
  </si>
  <si>
    <r>
      <t> CH</t>
    </r>
    <r>
      <rPr>
        <vertAlign val="subscript"/>
        <sz val="7.5"/>
        <rFont val="Arial"/>
        <family val="0"/>
      </rPr>
      <t>3</t>
    </r>
  </si>
  <si>
    <t>C</t>
  </si>
  <si>
    <t>F</t>
  </si>
  <si>
    <t>Compareable to water results:</t>
  </si>
  <si>
    <t>Methanol-Nafion peandant chain ab inito and MD study</t>
  </si>
  <si>
    <t>Nafion pendant chain-water study ab initio: uses Slater-Kirkwood formula to combine unlike atoms for C6 (Neff from Halgren's work); Conclude: ether O can't bind strongly to H20, deprotonation correlates with water richness</t>
  </si>
  <si>
    <t>Dihedrals:</t>
  </si>
  <si>
    <t>Optimized parameters for torsion potentials (in kcal/mol)</t>
  </si>
  <si>
    <t>Torsion</t>
  </si>
  <si>
    <r>
      <t>V</t>
    </r>
    <r>
      <rPr>
        <b/>
        <vertAlign val="subscript"/>
        <sz val="7.5"/>
        <rFont val="Arial"/>
        <family val="0"/>
      </rPr>
      <t>1</t>
    </r>
  </si>
  <si>
    <r>
      <t>V</t>
    </r>
    <r>
      <rPr>
        <b/>
        <vertAlign val="subscript"/>
        <sz val="7.5"/>
        <rFont val="Arial"/>
        <family val="0"/>
      </rPr>
      <t>2</t>
    </r>
  </si>
  <si>
    <r>
      <t>V</t>
    </r>
    <r>
      <rPr>
        <b/>
        <vertAlign val="subscript"/>
        <sz val="7.5"/>
        <rFont val="Arial"/>
        <family val="0"/>
      </rPr>
      <t>3</t>
    </r>
  </si>
  <si>
    <r>
      <t>V</t>
    </r>
    <r>
      <rPr>
        <b/>
        <vertAlign val="subscript"/>
        <sz val="7.5"/>
        <rFont val="Arial"/>
        <family val="0"/>
      </rPr>
      <t>4</t>
    </r>
  </si>
  <si>
    <r>
      <t>V</t>
    </r>
    <r>
      <rPr>
        <b/>
        <vertAlign val="subscript"/>
        <sz val="7.5"/>
        <rFont val="Arial"/>
        <family val="0"/>
      </rPr>
      <t>5</t>
    </r>
  </si>
  <si>
    <r>
      <t>V</t>
    </r>
    <r>
      <rPr>
        <b/>
        <vertAlign val="subscript"/>
        <sz val="7.5"/>
        <rFont val="Arial"/>
        <family val="0"/>
      </rPr>
      <t>6</t>
    </r>
  </si>
  <si>
    <r>
      <t>V</t>
    </r>
    <r>
      <rPr>
        <b/>
        <vertAlign val="subscript"/>
        <sz val="7.5"/>
        <rFont val="Arial"/>
        <family val="0"/>
      </rPr>
      <t>7</t>
    </r>
  </si>
  <si>
    <r>
      <t>V</t>
    </r>
    <r>
      <rPr>
        <b/>
        <vertAlign val="subscript"/>
        <sz val="7.5"/>
        <rFont val="Arial"/>
        <family val="0"/>
      </rPr>
      <t>8</t>
    </r>
  </si>
  <si>
    <t>Function type</t>
  </si>
  <si>
    <t>Considered molecules</t>
  </si>
  <si>
    <t>FCSO</t>
  </si>
  <si>
    <t>−0.417</t>
  </si>
  <si>
    <t>Furier</t>
  </si>
  <si>
    <r>
      <t>CF</t>
    </r>
    <r>
      <rPr>
        <vertAlign val="subscript"/>
        <sz val="7.5"/>
        <rFont val="Arial"/>
        <family val="0"/>
      </rPr>
      <t>3</t>
    </r>
    <r>
      <rPr>
        <sz val="7.5"/>
        <rFont val="Arial"/>
        <family val="0"/>
      </rPr>
      <t>SO</t>
    </r>
    <r>
      <rPr>
        <vertAlign val="subscript"/>
        <sz val="7.5"/>
        <rFont val="Arial"/>
        <family val="0"/>
      </rPr>
      <t>3</t>
    </r>
    <r>
      <rPr>
        <vertAlign val="superscript"/>
        <sz val="7.5"/>
        <rFont val="Arial"/>
        <family val="0"/>
      </rPr>
      <t>−</t>
    </r>
  </si>
  <si>
    <t>CCSO</t>
  </si>
  <si>
    <t>−0.068</t>
  </si>
  <si>
    <t>−0.261</t>
  </si>
  <si>
    <t>−5.084</t>
  </si>
  <si>
    <r>
      <t>C</t>
    </r>
    <r>
      <rPr>
        <vertAlign val="subscript"/>
        <sz val="7.5"/>
        <rFont val="Arial"/>
        <family val="0"/>
      </rPr>
      <t>2</t>
    </r>
    <r>
      <rPr>
        <sz val="7.5"/>
        <rFont val="Arial"/>
        <family val="0"/>
      </rPr>
      <t>F</t>
    </r>
    <r>
      <rPr>
        <vertAlign val="subscript"/>
        <sz val="7.5"/>
        <rFont val="Arial"/>
        <family val="0"/>
      </rPr>
      <t>5</t>
    </r>
    <r>
      <rPr>
        <sz val="7.5"/>
        <rFont val="Arial"/>
        <family val="0"/>
      </rPr>
      <t>SO</t>
    </r>
    <r>
      <rPr>
        <vertAlign val="subscript"/>
        <sz val="7.5"/>
        <rFont val="Arial"/>
        <family val="0"/>
      </rPr>
      <t>3</t>
    </r>
    <r>
      <rPr>
        <vertAlign val="superscript"/>
        <sz val="7.5"/>
        <rFont val="Arial"/>
        <family val="0"/>
      </rPr>
      <t>−</t>
    </r>
  </si>
  <si>
    <t>FCCS</t>
  </si>
  <si>
    <t>−0.634</t>
  </si>
  <si>
    <t>FCOC</t>
  </si>
  <si>
    <t>−18.206</t>
  </si>
  <si>
    <t>−7.163</t>
  </si>
  <si>
    <r>
      <t>CF</t>
    </r>
    <r>
      <rPr>
        <vertAlign val="subscript"/>
        <sz val="7.5"/>
        <rFont val="Arial"/>
        <family val="0"/>
      </rPr>
      <t>3</t>
    </r>
    <r>
      <rPr>
        <sz val="7.5"/>
        <rFont val="Arial"/>
        <family val="0"/>
      </rPr>
      <t>OCF</t>
    </r>
    <r>
      <rPr>
        <vertAlign val="subscript"/>
        <sz val="7.5"/>
        <rFont val="Arial"/>
        <family val="0"/>
      </rPr>
      <t>3</t>
    </r>
  </si>
  <si>
    <t>FCCO</t>
  </si>
  <si>
    <r>
      <t>CF</t>
    </r>
    <r>
      <rPr>
        <vertAlign val="subscript"/>
        <sz val="7.5"/>
        <rFont val="Arial"/>
        <family val="0"/>
      </rPr>
      <t>3</t>
    </r>
    <r>
      <rPr>
        <sz val="7.5"/>
        <rFont val="Arial"/>
        <family val="0"/>
      </rPr>
      <t>OCF</t>
    </r>
    <r>
      <rPr>
        <vertAlign val="subscript"/>
        <sz val="7.5"/>
        <rFont val="Arial"/>
        <family val="0"/>
      </rPr>
      <t>2</t>
    </r>
    <r>
      <rPr>
        <sz val="7.5"/>
        <rFont val="Arial"/>
        <family val="0"/>
      </rPr>
      <t>CF</t>
    </r>
    <r>
      <rPr>
        <vertAlign val="subscript"/>
        <sz val="7.5"/>
        <rFont val="Arial"/>
        <family val="0"/>
      </rPr>
      <t>3</t>
    </r>
  </si>
  <si>
    <t>COCC</t>
  </si>
  <si>
    <t>−3.459</t>
  </si>
  <si>
    <t>−60.004</t>
  </si>
  <si>
    <t>−27.248</t>
  </si>
  <si>
    <t>−9.723</t>
  </si>
  <si>
    <t>−4.705</t>
  </si>
  <si>
    <t>Polynominal</t>
  </si>
  <si>
    <t>OCCS</t>
  </si>
  <si>
    <t>−10.094</t>
  </si>
  <si>
    <t>−7.979</t>
  </si>
  <si>
    <t>−23.476</t>
  </si>
  <si>
    <t>−8.984</t>
  </si>
  <si>
    <r>
      <t>CF</t>
    </r>
    <r>
      <rPr>
        <vertAlign val="subscript"/>
        <sz val="7.5"/>
        <rFont val="Arial"/>
        <family val="0"/>
      </rPr>
      <t>3</t>
    </r>
    <r>
      <rPr>
        <sz val="7.5"/>
        <rFont val="Arial"/>
        <family val="0"/>
      </rPr>
      <t>OCF</t>
    </r>
    <r>
      <rPr>
        <vertAlign val="subscript"/>
        <sz val="7.5"/>
        <rFont val="Arial"/>
        <family val="0"/>
      </rPr>
      <t>2</t>
    </r>
    <r>
      <rPr>
        <sz val="7.5"/>
        <rFont val="Arial"/>
        <family val="0"/>
      </rPr>
      <t>CF</t>
    </r>
    <r>
      <rPr>
        <vertAlign val="subscript"/>
        <sz val="7.5"/>
        <rFont val="Arial"/>
        <family val="0"/>
      </rPr>
      <t>2</t>
    </r>
    <r>
      <rPr>
        <sz val="7.5"/>
        <rFont val="Arial"/>
        <family val="0"/>
      </rPr>
      <t>SO</t>
    </r>
    <r>
      <rPr>
        <vertAlign val="subscript"/>
        <sz val="7.5"/>
        <rFont val="Arial"/>
        <family val="0"/>
      </rPr>
      <t>3</t>
    </r>
    <r>
      <rPr>
        <vertAlign val="superscript"/>
        <sz val="7.5"/>
        <rFont val="Arial"/>
        <family val="0"/>
      </rPr>
      <t>−</t>
    </r>
  </si>
  <si>
    <t>Nafion oligomer-water-methanol (4 Nafion 117 units). New refined dihedrals for backbone (without "F"-s!).</t>
  </si>
  <si>
    <r>
      <t>Table 1: Lennard-Jones Parameters for Nafion</t>
    </r>
    <r>
      <rPr>
        <i/>
        <vertAlign val="superscript"/>
        <sz val="10"/>
        <rFont val="Arial"/>
        <family val="0"/>
      </rPr>
      <t>a</t>
    </r>
  </si>
  <si>
    <t>Lennard-Jones parameters</t>
  </si>
  <si>
    <t>atom</t>
  </si>
  <si>
    <t>, Å</t>
  </si>
  <si>
    <t>, kJ/mol</t>
  </si>
  <si>
    <t>Nafion</t>
  </si>
  <si>
    <t>O2, O4</t>
  </si>
  <si>
    <t>O3, O4, O5</t>
  </si>
  <si>
    <t>Covalent Bond, Å</t>
  </si>
  <si>
    <t>C-C</t>
  </si>
  <si>
    <t>C-S</t>
  </si>
  <si>
    <t>C-F</t>
  </si>
  <si>
    <t>S-O</t>
  </si>
  <si>
    <t>C-O</t>
  </si>
  <si>
    <t>Covalent Angles, deg</t>
  </si>
  <si>
    <t>CCC</t>
  </si>
  <si>
    <t>CCS</t>
  </si>
  <si>
    <t>CCF</t>
  </si>
  <si>
    <t>FCS</t>
  </si>
  <si>
    <t>CCO</t>
  </si>
  <si>
    <t>CSO</t>
  </si>
  <si>
    <t>COC</t>
  </si>
  <si>
    <t>OSO</t>
  </si>
  <si>
    <r>
      <t>Partial Atomic Charges, amu</t>
    </r>
    <r>
      <rPr>
        <i/>
        <vertAlign val="superscript"/>
        <sz val="10"/>
        <rFont val="Arial"/>
        <family val="0"/>
      </rPr>
      <t>a</t>
    </r>
  </si>
  <si>
    <t>F(C2)</t>
  </si>
  <si>
    <t>O3,O4,O5</t>
  </si>
  <si>
    <t>C3</t>
  </si>
  <si>
    <t>C5</t>
  </si>
  <si>
    <t>F(C3)</t>
  </si>
  <si>
    <t>F(C5)</t>
  </si>
  <si>
    <t>C1</t>
  </si>
  <si>
    <t>C4</t>
  </si>
  <si>
    <t>F(C1)</t>
  </si>
  <si>
    <t>F(C4)</t>
  </si>
  <si>
    <t>O1</t>
  </si>
  <si>
    <t>O2</t>
  </si>
  <si>
    <t>C0</t>
  </si>
  <si>
    <t>C2</t>
  </si>
  <si>
    <t>F(C0)</t>
  </si>
  <si>
    <t>C(skel)</t>
  </si>
  <si>
    <t>F(skel)</t>
  </si>
  <si>
    <r>
      <t>a</t>
    </r>
    <r>
      <rPr>
        <sz val="10"/>
        <rFont val="Arial"/>
        <family val="0"/>
      </rPr>
      <t xml:space="preserve"> Total charge of the side chain is -1.</t>
    </r>
  </si>
  <si>
    <t>The force field employed was based on the classical DREIDING force field.[27] All covalent bonds were supposed to be rigid. For this simulation, we modified the equilibrium bond distances and angles according to experimental and ab initio data on perfluoroalkanes, perfluoroethers, sulfonic acid, and dimethylsulfoxide.[28-33] The values of equilibrium bond distances and angles are shown in Table 1. The torsional potential of the fluorocarbon backbone was calculated by the density functional theory in ref 32 and applied to the CCCC dihedral angles of the skeleton. The FCCF and FCCC dihedrals were disregarded. To the side chain dihedrals, the DREIDING torsional potential [27] was applied.</t>
  </si>
  <si>
    <r>
      <t>The Lennard-Jones (LJ) parameters were taken from successful simulations of smaller compounds, which contain the same groups as Nafion,</t>
    </r>
    <r>
      <rPr>
        <vertAlign val="superscript"/>
        <sz val="10"/>
        <rFont val="Arial"/>
        <family val="0"/>
      </rPr>
      <t>30,33,34</t>
    </r>
    <r>
      <rPr>
        <sz val="10"/>
        <rFont val="Arial"/>
        <family val="0"/>
      </rPr>
      <t xml:space="preserve"> in particular, of low perfluoroalkanes and Na</t>
    </r>
    <r>
      <rPr>
        <vertAlign val="subscript"/>
        <sz val="10"/>
        <rFont val="Arial"/>
        <family val="0"/>
      </rPr>
      <t>2</t>
    </r>
    <r>
      <rPr>
        <sz val="10"/>
        <rFont val="Arial"/>
        <family val="0"/>
      </rPr>
      <t>SO</t>
    </r>
    <r>
      <rPr>
        <vertAlign val="subscript"/>
        <sz val="10"/>
        <rFont val="Arial"/>
        <family val="0"/>
      </rPr>
      <t>4</t>
    </r>
    <r>
      <rPr>
        <sz val="10"/>
        <rFont val="Arial"/>
        <family val="0"/>
      </rPr>
      <t xml:space="preserve"> in aqueous solutions. The OPLS parameters were assigned to the ester oxygens.</t>
    </r>
    <r>
      <rPr>
        <vertAlign val="superscript"/>
        <sz val="10"/>
        <rFont val="Arial"/>
        <family val="0"/>
      </rPr>
      <t>35</t>
    </r>
    <r>
      <rPr>
        <sz val="10"/>
        <rFont val="Arial"/>
        <family val="0"/>
      </rPr>
      <t xml:space="preserve"> The LJ parameters are given in Table 1. The partial charges were introduced through the Gasteiger procedure</t>
    </r>
    <r>
      <rPr>
        <vertAlign val="superscript"/>
        <sz val="10"/>
        <rFont val="Arial"/>
        <family val="0"/>
      </rPr>
      <t>36</t>
    </r>
    <r>
      <rPr>
        <sz val="10"/>
        <rFont val="Arial"/>
        <family val="0"/>
      </rPr>
      <t xml:space="preserve"> and equilibrated to yield the total charge of -</t>
    </r>
    <r>
      <rPr>
        <i/>
        <sz val="10"/>
        <rFont val="Arial"/>
        <family val="0"/>
      </rPr>
      <t>e</t>
    </r>
    <r>
      <rPr>
        <sz val="10"/>
        <rFont val="Arial"/>
        <family val="0"/>
      </rPr>
      <t xml:space="preserve"> per monomer unit. The partial charges for the skeleton carbons and fluorines determined by this procedure turned out to be close to those used in ref 34, taking in account that the hydrogen atoms of difluoromethane are positively charged. The charges on sulfone oxygens turned out to be substantially lower in absolute value than -</t>
    </r>
    <r>
      <rPr>
        <i/>
        <sz val="10"/>
        <rFont val="Arial"/>
        <family val="0"/>
      </rPr>
      <t>e</t>
    </r>
    <r>
      <rPr>
        <sz val="10"/>
        <rFont val="Arial"/>
        <family val="0"/>
      </rPr>
      <t>, used for SO</t>
    </r>
    <r>
      <rPr>
        <vertAlign val="subscript"/>
        <sz val="10"/>
        <rFont val="Arial"/>
        <family val="0"/>
      </rPr>
      <t>4</t>
    </r>
    <r>
      <rPr>
        <vertAlign val="superscript"/>
        <sz val="10"/>
        <rFont val="Arial"/>
        <family val="0"/>
      </rPr>
      <t>2-</t>
    </r>
    <r>
      <rPr>
        <sz val="10"/>
        <rFont val="Arial"/>
        <family val="0"/>
      </rPr>
      <t>,</t>
    </r>
    <r>
      <rPr>
        <vertAlign val="superscript"/>
        <sz val="10"/>
        <rFont val="Arial"/>
        <family val="0"/>
      </rPr>
      <t>30</t>
    </r>
    <r>
      <rPr>
        <sz val="10"/>
        <rFont val="Arial"/>
        <family val="0"/>
      </rPr>
      <t xml:space="preserve"> yet close to those used by Ennari et al.</t>
    </r>
    <r>
      <rPr>
        <vertAlign val="superscript"/>
        <sz val="10"/>
        <rFont val="Arial"/>
        <family val="0"/>
      </rPr>
      <t>37</t>
    </r>
    <r>
      <rPr>
        <sz val="10"/>
        <rFont val="Arial"/>
        <family val="0"/>
      </rPr>
      <t xml:space="preserve"> The charges are given in Table 1. The perfluoroalkane skeleton was terminated by two dummy carbon atoms, which had zero charge and a negligible Lennard-Jones energy constant. For an extensive discussion of the force field, see ref 26.</t>
    </r>
  </si>
  <si>
    <t>Goddard's Nafion paper:</t>
  </si>
  <si>
    <t>Atom charge:</t>
  </si>
  <si>
    <t>OS</t>
  </si>
  <si>
    <t>charge</t>
  </si>
  <si>
    <t>#</t>
  </si>
  <si>
    <t>Oe</t>
  </si>
  <si>
    <t>sum:</t>
  </si>
  <si>
    <t>J.Phys.Chem B. 2004. 108,3149</t>
  </si>
  <si>
    <t>Alar's forcefield:</t>
  </si>
  <si>
    <t>F1</t>
  </si>
  <si>
    <t>CT</t>
  </si>
  <si>
    <t>terminal carbon</t>
  </si>
  <si>
    <t>FT</t>
  </si>
  <si>
    <t>[1]</t>
  </si>
  <si>
    <t>comment</t>
  </si>
  <si>
    <t>ref</t>
  </si>
  <si>
    <t xml:space="preserve">Goddard's Teflon paper: </t>
  </si>
  <si>
    <t>Marcomol. 2003, 36, 5331</t>
  </si>
  <si>
    <t>[2]</t>
  </si>
  <si>
    <t>terminal F</t>
  </si>
  <si>
    <t>backbone</t>
  </si>
  <si>
    <t>Mulliken!</t>
  </si>
  <si>
    <t>ESP!</t>
  </si>
  <si>
    <t>C6</t>
  </si>
  <si>
    <t>C7</t>
  </si>
  <si>
    <t>C8</t>
  </si>
  <si>
    <t>C9</t>
  </si>
  <si>
    <t>F5</t>
  </si>
  <si>
    <t>F7</t>
  </si>
  <si>
    <t>F8</t>
  </si>
  <si>
    <t>F10</t>
  </si>
  <si>
    <t>F11</t>
  </si>
  <si>
    <t>Alar modifies, was 0.2559</t>
  </si>
  <si>
    <t>F14</t>
  </si>
  <si>
    <t>F16</t>
  </si>
  <si>
    <t>O3</t>
  </si>
  <si>
    <t>[2]*</t>
  </si>
  <si>
    <t>Alar modifies, was -0.6142, NON-Physical?</t>
  </si>
  <si>
    <t xml:space="preserve">sum: </t>
  </si>
  <si>
    <t xml:space="preserve">backbone 'm'-fragment only, charge: </t>
  </si>
  <si>
    <t>delta:</t>
  </si>
  <si>
    <t>MUST BE -1 !!</t>
  </si>
  <si>
    <t>http://dx.doi.org/10.1039/b316395d</t>
  </si>
  <si>
    <r>
      <t> H</t>
    </r>
    <r>
      <rPr>
        <vertAlign val="subscript"/>
        <sz val="7.5"/>
        <rFont val="Arial"/>
        <family val="0"/>
      </rPr>
      <t>2</t>
    </r>
    <r>
      <rPr>
        <sz val="7.5"/>
        <rFont val="Arial"/>
        <family val="0"/>
      </rPr>
      <t>O a</t>
    </r>
  </si>
  <si>
    <t> Ether a</t>
  </si>
  <si>
    <t>S a</t>
  </si>
  <si>
    <t>F a</t>
  </si>
  <si>
    <t>C a</t>
  </si>
  <si>
    <r>
      <t> SO</t>
    </r>
    <r>
      <rPr>
        <vertAlign val="subscript"/>
        <sz val="7.5"/>
        <rFont val="Arial"/>
        <family val="0"/>
      </rPr>
      <t>3</t>
    </r>
    <r>
      <rPr>
        <vertAlign val="superscript"/>
        <sz val="7.5"/>
        <rFont val="Arial"/>
        <family val="0"/>
      </rPr>
      <t>− a</t>
    </r>
  </si>
  <si>
    <t>Eq. (1) has Nef, effective numbers of electrones:</t>
  </si>
  <si>
    <t>Neff</t>
  </si>
  <si>
    <t>http://dx.doi.org/10.1016/j.jfluchem.2005.07.004</t>
  </si>
  <si>
    <t>a: Ref [23]</t>
  </si>
  <si>
    <t>http://dx.doi.org/10.1021/jp004082p</t>
  </si>
  <si>
    <t>The molecule of water was presented by the SPC/E potential of Berendsen et al..38 This three-center model gives good agreement with experimental data on density, potential energy, and molecular mobility in the bulk water at ambient conditions. The molecule of methanol was described by the three-center potential of van Leewen and Smit,39 which provides the best fit to the experimental vapor-liquid-phase diagram of the pure methanol. Natrium ion was considered as a charged LJ particle.40</t>
  </si>
  <si>
    <t xml:space="preserve">The flexible TIP3P model [57] and [58] was applied for water. For methanol, three interaction sites model proposed by Honma et al. [59] was utilized for the intermolecular potential except for spring constants of O-H, O-CH3 bondings and CH3-O-H bending. They were taken from the OPLS potential [60]. H3O+ is used as counter ion of sulfonic acids [24]. For the solute, we assigned the OPLS-AA force field [60]. </t>
  </si>
  <si>
    <t>r(OH), A</t>
  </si>
  <si>
    <t>HOH, deg</t>
  </si>
  <si>
    <t>TIP3P [57] parameters</t>
  </si>
  <si>
    <t>q(O)</t>
  </si>
  <si>
    <t>q(H)</t>
  </si>
  <si>
    <t>A(OO), kcalA^12/mol</t>
  </si>
  <si>
    <t>C(OO), kcalA^6/mol</t>
  </si>
  <si>
    <t>TIP3P [58] parameters</t>
  </si>
  <si>
    <t xml:space="preserve">H TIP3P, LJ epsilon, kcal/mol </t>
  </si>
  <si>
    <t>H TIP3P, LJ rmin, A</t>
  </si>
  <si>
    <t xml:space="preserve">O TIP3P, LJ epsilon, kcal/mol </t>
  </si>
  <si>
    <t>O TIP3P, LJ rmin, A</t>
  </si>
  <si>
    <t>modifications therein for water-water interactions:</t>
  </si>
  <si>
    <t>k(O-H), kcal/(mol A^2)</t>
  </si>
  <si>
    <t>k(H-O-H), kcal/(mol deg^2)</t>
  </si>
  <si>
    <t>http://dx.doi.org/10.1063/1.472061</t>
  </si>
  <si>
    <t xml:space="preserve">http://dx.doi.org/10.1063/1.445869 </t>
  </si>
  <si>
    <t>Hw</t>
  </si>
  <si>
    <t>Ow</t>
  </si>
  <si>
    <t>q</t>
  </si>
  <si>
    <t>LJ D0</t>
  </si>
  <si>
    <t>LJ R0</t>
  </si>
  <si>
    <t>LJ A</t>
  </si>
  <si>
    <t>LJ B</t>
  </si>
  <si>
    <t>Standard DREIDING mixing rules for LJ: geom for D0, arithm. For R0</t>
  </si>
  <si>
    <t>SPC/E:</t>
  </si>
  <si>
    <t>r(OH)/A</t>
  </si>
  <si>
    <t>HOH/deg</t>
  </si>
  <si>
    <t>A(LJ)/kcal*A^12/mol</t>
  </si>
  <si>
    <t>C(LJ)/kcal*a^6/mol</t>
  </si>
  <si>
    <t>(kJ/mol)^(1/6)*nm</t>
  </si>
  <si>
    <t>(kJ/mol)^(1/12)*nm</t>
  </si>
  <si>
    <t>F3C water nonbonded:</t>
  </si>
  <si>
    <t>F3C water bonded:</t>
  </si>
  <si>
    <t>k</t>
  </si>
  <si>
    <t>r0/theta0</t>
  </si>
  <si>
    <t>Ow-Hw</t>
  </si>
  <si>
    <t>LJ sigma</t>
  </si>
  <si>
    <t>Hw-Ow-Hw</t>
  </si>
  <si>
    <t>From Paper III</t>
  </si>
  <si>
    <t>Buckingham</t>
  </si>
  <si>
    <t>C(kJ/molA^6)</t>
  </si>
  <si>
    <t>b(A^-1)</t>
  </si>
  <si>
    <t>A(kJ/mol)</t>
  </si>
  <si>
    <t>r(A)</t>
  </si>
  <si>
    <t>f(r):Li+Li+ Buckingham</t>
  </si>
  <si>
    <t>A(kcal/mol)</t>
  </si>
  <si>
    <t>C(kcal/molA^6)</t>
  </si>
  <si>
    <t>kJ-&gt;kcal:</t>
  </si>
  <si>
    <t>all params:</t>
  </si>
  <si>
    <t>* DS uses rigid only!</t>
  </si>
  <si>
    <t>P2:</t>
  </si>
  <si>
    <t>C(kJ/molA^4)</t>
  </si>
  <si>
    <t>C(kcal/molA^4)</t>
  </si>
  <si>
    <t>H2O/Li+</t>
  </si>
  <si>
    <t>From Paper VI</t>
  </si>
  <si>
    <t>Li+</t>
  </si>
  <si>
    <t>Na+</t>
  </si>
  <si>
    <t>f(r):Na+Na+ Buckingham</t>
  </si>
  <si>
    <t>Borodin: J-Phys-Chem-B_2002_106_9912_Borodin_MD-PTFE-ff.pdf</t>
  </si>
  <si>
    <t>k1</t>
  </si>
  <si>
    <t>k2</t>
  </si>
  <si>
    <t>k3</t>
  </si>
  <si>
    <t>k4</t>
  </si>
  <si>
    <t>k5</t>
  </si>
  <si>
    <t>k6</t>
  </si>
  <si>
    <t>k7</t>
  </si>
  <si>
    <t>C-C-C-C</t>
  </si>
  <si>
    <t>dihedral</t>
  </si>
  <si>
    <t>V=1/2*sum(i=1..n)[k(n)*[1-cos(n*phi)]]</t>
  </si>
  <si>
    <t>F-C-C-F</t>
  </si>
  <si>
    <t>param</t>
  </si>
  <si>
    <t>no.</t>
  </si>
  <si>
    <t>phi:</t>
  </si>
  <si>
    <t>phi+120</t>
  </si>
  <si>
    <t>atom1</t>
  </si>
  <si>
    <t>atom2</t>
  </si>
  <si>
    <t>A kcal/mol</t>
  </si>
  <si>
    <t>B A^-1</t>
  </si>
  <si>
    <t>C kcalA^6/mol</t>
  </si>
  <si>
    <t>r</t>
  </si>
  <si>
    <t>E(FF)</t>
  </si>
  <si>
    <t>E(CC)</t>
  </si>
  <si>
    <t>E(CF)</t>
  </si>
  <si>
    <t>bonds</t>
  </si>
  <si>
    <t>Cm</t>
  </si>
  <si>
    <t>Ce</t>
  </si>
  <si>
    <t>angles:</t>
  </si>
  <si>
    <t>theta0</t>
  </si>
  <si>
    <t>sum1+4*sum2</t>
  </si>
  <si>
    <t>sum with modified k3, add F-C-C-F</t>
  </si>
  <si>
    <t>C-C-C-C eff</t>
  </si>
  <si>
    <t>F-C-S-O</t>
  </si>
  <si>
    <t>Dihedral energy scales vdw 100%</t>
  </si>
  <si>
    <t>Use two DREIDING comb. Rules X6-&gt;LJ, c) same D0, Ro; d) E=0 same</t>
  </si>
  <si>
    <t>cD0</t>
  </si>
  <si>
    <t>cR0</t>
  </si>
  <si>
    <t>=</t>
  </si>
  <si>
    <t>dD0</t>
  </si>
  <si>
    <t>dR0</t>
  </si>
  <si>
    <t>DX0</t>
  </si>
  <si>
    <t>RX0</t>
  </si>
  <si>
    <t>xX0</t>
  </si>
  <si>
    <t>A</t>
  </si>
  <si>
    <t>B</t>
  </si>
  <si>
    <t>sumsqdiff</t>
  </si>
  <si>
    <t>Fitting the DREIDING paramteres D0, R0 and ksi to A, B, C:</t>
  </si>
  <si>
    <t>Results: free fit</t>
  </si>
  <si>
    <t>ksi=12: LJ has the same attraction part</t>
  </si>
  <si>
    <t>ksi=13.772, LJ has the same potential well force constant</t>
  </si>
  <si>
    <t>Solve d) equations:</t>
  </si>
  <si>
    <t>1) Dx/DL=1/2*(ksi/(ksi-6))*(Rx/RL)^6</t>
  </si>
  <si>
    <t>x</t>
  </si>
  <si>
    <t>RL/Rx</t>
  </si>
  <si>
    <t>wcalc</t>
  </si>
  <si>
    <t>w tune</t>
  </si>
  <si>
    <t>diffsq(minimize)</t>
  </si>
  <si>
    <t>DL/Dx</t>
  </si>
  <si>
    <t>DL</t>
  </si>
  <si>
    <t>RL</t>
  </si>
  <si>
    <t>LJ</t>
  </si>
  <si>
    <t xml:space="preserve">2) (-1/6)*2^(-1/6)*ksi*(RL/Rx)*exp((-1/6)*2^(-1/6)*ksi*(RL/Rx))=(-1/6)*(1/6)^(1/6)*ksi^(7/6)*exp(-1/6*ksi) </t>
  </si>
  <si>
    <t>F-F</t>
  </si>
  <si>
    <t>DL/Dx (same derivative at E=0)</t>
  </si>
  <si>
    <t>DL(=deriv.)</t>
  </si>
  <si>
    <t>3) E(Ro)=0 and dE/dR (Ro)=0, the derivative condition!</t>
  </si>
  <si>
    <t>LJ,=deriv.</t>
  </si>
  <si>
    <t>Summary of fitting Borodin Buckingham parameters A, B, C to LJ parameters A, C or LJ epsilon, sigma:</t>
  </si>
  <si>
    <t>LJ eps (kcal/mol)</t>
  </si>
  <si>
    <t>LJ sigm (A^-1)</t>
  </si>
  <si>
    <t>LJ A (kcal/mol*A^12)</t>
  </si>
  <si>
    <t>LJ C (kcal/mol*A^6)</t>
  </si>
  <si>
    <t>LJ D0 (kcal/mol)</t>
  </si>
  <si>
    <t>LJ R0 (A^-1)</t>
  </si>
  <si>
    <t>LJ A,C-type</t>
  </si>
  <si>
    <t xml:space="preserve">LJ eps-sigm.-type </t>
  </si>
  <si>
    <t>LJ D0,R0-type</t>
  </si>
  <si>
    <t>method</t>
  </si>
  <si>
    <t>sameC, E=0</t>
  </si>
  <si>
    <t>same dE, E=0</t>
  </si>
  <si>
    <t>b=B^-1</t>
  </si>
  <si>
    <t>FT-F1</t>
  </si>
  <si>
    <t>0.75:</t>
  </si>
  <si>
    <t>0.5:</t>
  </si>
  <si>
    <t>0.25:</t>
  </si>
  <si>
    <t>Urata United atom/expicit atom nafion study:</t>
  </si>
  <si>
    <t>J-Phys-Chem-2005-109-4269</t>
  </si>
  <si>
    <t>Simple ab-inito dihedrals:</t>
  </si>
  <si>
    <t>O-CF2-CF2-S</t>
  </si>
  <si>
    <t>polynomial:</t>
  </si>
  <si>
    <t>U=sum(i=0..7)Vi*cos(phi)^i</t>
  </si>
  <si>
    <t>angle\parameters:</t>
  </si>
  <si>
    <t>i</t>
  </si>
  <si>
    <t>sum</t>
  </si>
  <si>
    <t>O-CF2-CF2-O</t>
  </si>
  <si>
    <t>CF2-CF2-S-O</t>
  </si>
  <si>
    <t>fourier</t>
  </si>
  <si>
    <t xml:space="preserve">U=1/2* (V1*(1+cos(phi))+V2*(1-cos(2*phi)+V3*(1+cos(3*phi)) </t>
  </si>
  <si>
    <t>Using DREIDING rule a) (program lj2bucka) the lj parameters compared with buck ones , F-F example:</t>
  </si>
  <si>
    <t>LJ E</t>
  </si>
  <si>
    <t>buck A</t>
  </si>
  <si>
    <t xml:space="preserve">buck rho </t>
  </si>
  <si>
    <t>buck C</t>
  </si>
  <si>
    <t>buck E</t>
  </si>
  <si>
    <t>Cx</t>
  </si>
  <si>
    <t>sigma</t>
  </si>
  <si>
    <t>Rx</t>
  </si>
  <si>
    <t>LJ eps</t>
  </si>
  <si>
    <t>lnx-2x-Cx</t>
  </si>
  <si>
    <t>Find the E=0, slopeE=0 equality based X6 parameters:</t>
  </si>
  <si>
    <t>eps</t>
  </si>
  <si>
    <t>Dx</t>
  </si>
  <si>
    <t>rho</t>
  </si>
  <si>
    <t>derivative-euality based buck:</t>
  </si>
  <si>
    <t>buck rho</t>
  </si>
  <si>
    <t>Mixing Goddard buck with borodin's:</t>
  </si>
  <si>
    <t>O1-F1</t>
  </si>
  <si>
    <t>O1-C1</t>
  </si>
  <si>
    <t>C-C example:</t>
  </si>
  <si>
    <t>comparison: Borodin Li-Li:</t>
  </si>
  <si>
    <t>Li+Li+Borodin</t>
  </si>
  <si>
    <t>LJ:</t>
  </si>
  <si>
    <t>LJ(eps,sigma):</t>
  </si>
  <si>
    <t>Calculating Lennard-Jones epsilon ja sigma from Buckingham A, rho and C.</t>
  </si>
  <si>
    <t>Assume: i) E_B(sigma) = E_LJ(sigma)=0</t>
  </si>
  <si>
    <t xml:space="preserve">             ii) dE_B/dr|sigma = dE_LJ/dr|sigma</t>
  </si>
  <si>
    <t>We get:</t>
  </si>
  <si>
    <t>sigma = 6 * rho * x</t>
  </si>
  <si>
    <t>ln(x) - x = K</t>
  </si>
  <si>
    <t>K= 1/6 * ( ln(C/A) - 6 * (ln(rho) + ln(6) ) )</t>
  </si>
  <si>
    <t>epsilon = 1/4 * A * x * exp(-6*x) - C / (4 * rho^6 * 6^6 ) * 1/x^6</t>
  </si>
  <si>
    <t>K</t>
  </si>
  <si>
    <t>lnx -x -K</t>
  </si>
  <si>
    <t>epsilon</t>
  </si>
  <si>
    <t>...Anyway, from Maple Buckingham2LJ we got:</t>
  </si>
  <si>
    <t>Li+Li+LJ</t>
  </si>
  <si>
    <t>Na+Na+LJ</t>
  </si>
  <si>
    <t>type</t>
  </si>
  <si>
    <t>r0 or theta0</t>
  </si>
  <si>
    <t>OPLS bond and angle parameters (AMBER):</t>
  </si>
  <si>
    <t>CT-CT</t>
  </si>
  <si>
    <t>contact Jorgensen!!!</t>
  </si>
  <si>
    <t>alkyl</t>
  </si>
  <si>
    <t>fluoride</t>
  </si>
  <si>
    <t>(UA)</t>
  </si>
  <si>
    <t>ETHER</t>
  </si>
  <si>
    <t>JCC,11,958</t>
  </si>
  <si>
    <t>UA</t>
  </si>
  <si>
    <t>CH2</t>
  </si>
  <si>
    <t>(-O)</t>
  </si>
  <si>
    <t xml:space="preserve">    </t>
  </si>
  <si>
    <t>CF3</t>
  </si>
  <si>
    <t>Trifluoroethanol</t>
  </si>
  <si>
    <t>perfluoroalkanes</t>
  </si>
  <si>
    <t>JPC</t>
  </si>
  <si>
    <t>A,</t>
  </si>
  <si>
    <t>105,</t>
  </si>
  <si>
    <t>CF2</t>
  </si>
  <si>
    <t>CF</t>
  </si>
  <si>
    <t>in</t>
  </si>
  <si>
    <t>Dihedral from:</t>
  </si>
  <si>
    <t>Cui, S.T.; Siepmann, J.I.; Cochran, H.D. &amp; Cummings, P.T.</t>
  </si>
  <si>
    <t>Intermolecular potentials and vapor-liquid phase equilibria of perfluorinated alkanes</t>
  </si>
  <si>
    <r>
      <t xml:space="preserve">Fluid Phase Equilibria, </t>
    </r>
    <r>
      <rPr>
        <b/>
        <sz val="10"/>
        <rFont val="Arial"/>
        <family val="2"/>
      </rPr>
      <t>1998</t>
    </r>
    <r>
      <rPr>
        <sz val="10"/>
        <rFont val="Arial"/>
        <family val="2"/>
      </rPr>
      <t xml:space="preserve"> </t>
    </r>
    <r>
      <rPr>
        <i/>
        <sz val="10"/>
        <rFont val="Arial"/>
        <family val="2"/>
      </rPr>
      <t>, 146</t>
    </r>
    <r>
      <rPr>
        <sz val="10"/>
        <rFont val="Arial"/>
        <family val="2"/>
      </rPr>
      <t xml:space="preserve"> , 51</t>
    </r>
  </si>
  <si>
    <t>http://dx.doi.org/10.1016/S0378-3812(98)00216-7</t>
  </si>
  <si>
    <t>Fluid-Phase-Equilib_1998_146_51_Cummings_Perfluorialkanes-potentials-UA.pdf</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</si>
</sst>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0.000000"/>
    <numFmt numFmtId="168" formatCode="0.0000000"/>
    <numFmt numFmtId="169" formatCode="0.00000000"/>
    <numFmt numFmtId="170" formatCode="0.0"/>
    <numFmt numFmtId="171" formatCode="0.0000"/>
  </numFmts>
  <fonts count="30">
    <font>
      <sz val="10"/>
      <name val="Arial"/>
      <family val="0"/>
    </font>
    <font>
      <u val="single"/>
      <sz val="10"/>
      <color indexed="12"/>
      <name val="Arial"/>
      <family val="0"/>
    </font>
    <font>
      <sz val="7.5"/>
      <name val="Arial"/>
      <family val="0"/>
    </font>
    <font>
      <vertAlign val="subscript"/>
      <sz val="7.5"/>
      <name val="Arial"/>
      <family val="0"/>
    </font>
    <font>
      <vertAlign val="superscript"/>
      <sz val="7.5"/>
      <name val="Arial"/>
      <family val="0"/>
    </font>
    <font>
      <b/>
      <sz val="7.5"/>
      <name val="Arial"/>
      <family val="0"/>
    </font>
    <font>
      <b/>
      <vertAlign val="subscript"/>
      <sz val="7.5"/>
      <name val="Arial"/>
      <family val="0"/>
    </font>
    <font>
      <u val="single"/>
      <sz val="10"/>
      <color indexed="36"/>
      <name val="Arial"/>
      <family val="0"/>
    </font>
    <font>
      <b/>
      <i/>
      <sz val="7.5"/>
      <name val="Arial"/>
      <family val="0"/>
    </font>
    <font>
      <vertAlign val="subscript"/>
      <sz val="10"/>
      <name val="Arial"/>
      <family val="0"/>
    </font>
    <font>
      <vertAlign val="superscript"/>
      <sz val="10"/>
      <name val="Arial"/>
      <family val="0"/>
    </font>
    <font>
      <i/>
      <sz val="10"/>
      <name val="Arial"/>
      <family val="0"/>
    </font>
    <font>
      <i/>
      <vertAlign val="superscript"/>
      <sz val="10"/>
      <name val="Arial"/>
      <family val="0"/>
    </font>
    <font>
      <sz val="10"/>
      <color indexed="10"/>
      <name val="Arial"/>
      <family val="2"/>
    </font>
    <font>
      <b/>
      <sz val="10"/>
      <name val="Arial"/>
      <family val="2"/>
    </font>
    <font>
      <sz val="10.75"/>
      <name val="Arial"/>
      <family val="0"/>
    </font>
    <font>
      <b/>
      <sz val="12"/>
      <name val="Arial"/>
      <family val="0"/>
    </font>
    <font>
      <sz val="12"/>
      <name val="Arial"/>
      <family val="0"/>
    </font>
    <font>
      <b/>
      <sz val="10.75"/>
      <name val="Arial"/>
      <family val="0"/>
    </font>
    <font>
      <sz val="17.5"/>
      <name val="Arial"/>
      <family val="0"/>
    </font>
    <font>
      <b/>
      <sz val="21"/>
      <name val="Arial"/>
      <family val="0"/>
    </font>
    <font>
      <sz val="21"/>
      <name val="Arial"/>
      <family val="0"/>
    </font>
    <font>
      <sz val="11"/>
      <name val="Arial"/>
      <family val="0"/>
    </font>
    <font>
      <b/>
      <sz val="15.25"/>
      <name val="Arial"/>
      <family val="0"/>
    </font>
    <font>
      <sz val="15.25"/>
      <name val="Arial"/>
      <family val="0"/>
    </font>
    <font>
      <b/>
      <sz val="11.25"/>
      <name val="Arial"/>
      <family val="0"/>
    </font>
    <font>
      <sz val="11.25"/>
      <name val="Arial"/>
      <family val="0"/>
    </font>
    <font>
      <b/>
      <sz val="16"/>
      <name val="Arial"/>
      <family val="0"/>
    </font>
    <font>
      <sz val="16"/>
      <name val="Arial"/>
      <family val="0"/>
    </font>
    <font>
      <sz val="9.75"/>
      <name val="Arial"/>
      <family val="0"/>
    </font>
  </fonts>
  <fills count="2">
    <fill>
      <patternFill/>
    </fill>
    <fill>
      <patternFill patternType="gray125"/>
    </fill>
  </fills>
  <borders count="8">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20" applyAlignment="1">
      <alignment/>
    </xf>
    <xf numFmtId="0" fontId="5" fillId="0" borderId="1" xfId="0" applyFont="1" applyBorder="1" applyAlignment="1">
      <alignment horizontal="left" wrapText="1"/>
    </xf>
    <xf numFmtId="0" fontId="2" fillId="0" borderId="1" xfId="0" applyFont="1" applyBorder="1" applyAlignment="1">
      <alignment horizontal="left"/>
    </xf>
    <xf numFmtId="0" fontId="2" fillId="0" borderId="1" xfId="0" applyFont="1" applyBorder="1" applyAlignment="1">
      <alignment/>
    </xf>
    <xf numFmtId="0" fontId="2" fillId="0" borderId="0" xfId="0" applyFont="1" applyFill="1" applyBorder="1" applyAlignment="1">
      <alignment horizontal="left"/>
    </xf>
    <xf numFmtId="0" fontId="0" fillId="0" borderId="0" xfId="0" applyAlignment="1">
      <alignment wrapText="1"/>
    </xf>
    <xf numFmtId="0" fontId="2" fillId="0" borderId="0" xfId="0" applyFont="1" applyAlignment="1">
      <alignment horizontal="left" indent="1"/>
    </xf>
    <xf numFmtId="0" fontId="0" fillId="0" borderId="0" xfId="0" applyAlignment="1">
      <alignment horizontal="center" wrapText="1"/>
    </xf>
    <xf numFmtId="0" fontId="8" fillId="0" borderId="1" xfId="0" applyFont="1" applyBorder="1" applyAlignment="1">
      <alignment horizontal="left" wrapText="1"/>
    </xf>
    <xf numFmtId="0" fontId="0" fillId="0" borderId="1" xfId="0" applyBorder="1" applyAlignment="1">
      <alignment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2" fillId="0" borderId="0" xfId="0" applyFont="1" applyAlignment="1">
      <alignment/>
    </xf>
    <xf numFmtId="168" fontId="13" fillId="0" borderId="0" xfId="0" applyNumberFormat="1" applyFont="1" applyAlignment="1">
      <alignment/>
    </xf>
    <xf numFmtId="49" fontId="0" fillId="0" borderId="0" xfId="20" applyNumberFormat="1" applyFont="1" applyAlignment="1">
      <alignment/>
    </xf>
    <xf numFmtId="0" fontId="14" fillId="0" borderId="0" xfId="0" applyFont="1" applyAlignment="1">
      <alignment/>
    </xf>
    <xf numFmtId="168" fontId="0" fillId="0" borderId="0" xfId="0" applyNumberFormat="1" applyAlignment="1">
      <alignment/>
    </xf>
    <xf numFmtId="169" fontId="0" fillId="0" borderId="0" xfId="0" applyNumberFormat="1" applyAlignment="1">
      <alignment/>
    </xf>
    <xf numFmtId="1"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0" fontId="16"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wrapText="1"/>
    </xf>
    <xf numFmtId="0" fontId="2" fillId="0" borderId="5" xfId="0" applyFont="1" applyBorder="1" applyAlignment="1">
      <alignment horizontal="left"/>
    </xf>
    <xf numFmtId="0" fontId="2" fillId="0" borderId="6" xfId="0" applyFont="1" applyBorder="1" applyAlignment="1">
      <alignment horizontal="left"/>
    </xf>
    <xf numFmtId="0" fontId="0" fillId="0" borderId="0" xfId="0" applyAlignment="1">
      <alignment horizontal="center"/>
    </xf>
    <xf numFmtId="0" fontId="0" fillId="0" borderId="0" xfId="0" applyAlignment="1">
      <alignment/>
    </xf>
    <xf numFmtId="0" fontId="0" fillId="0" borderId="7" xfId="0" applyBorder="1" applyAlignment="1">
      <alignment horizontal="center"/>
    </xf>
    <xf numFmtId="0" fontId="0" fillId="0" borderId="7" xfId="0" applyBorder="1" applyAlignment="1">
      <alignment/>
    </xf>
    <xf numFmtId="0" fontId="0" fillId="0" borderId="0" xfId="0" applyAlignment="1">
      <alignment/>
    </xf>
    <xf numFmtId="0" fontId="1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
          <c:w val="0.92525"/>
          <c:h val="0.9355"/>
        </c:manualLayout>
      </c:layout>
      <c:scatterChart>
        <c:scatterStyle val="smoothMarker"/>
        <c:varyColors val="0"/>
        <c:ser>
          <c:idx val="0"/>
          <c:order val="0"/>
          <c:tx>
            <c:v>O-CF2-CF2-S</c:v>
          </c:tx>
          <c:extLst>
            <c:ext xmlns:c14="http://schemas.microsoft.com/office/drawing/2007/8/2/chart" uri="{6F2FDCE9-48DA-4B69-8628-5D25D57E5C99}">
              <c14:invertSolidFillFmt>
                <c14:spPr>
                  <a:solidFill>
                    <a:srgbClr val="000000"/>
                  </a:solidFill>
                </c14:spPr>
              </c14:invertSolidFillFmt>
            </c:ext>
          </c:extLst>
          <c:marker>
            <c:symbol val="diamond"/>
          </c:marker>
          <c:xVal>
            <c:numRef>
              <c:f>Urata!$A$93:$A$165</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Urata!$J$93:$J$165</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17313156"/>
        <c:axId val="21600677"/>
      </c:scatterChart>
      <c:valAx>
        <c:axId val="17313156"/>
        <c:scaling>
          <c:orientation val="minMax"/>
          <c:max val="180"/>
          <c:min val="-180"/>
        </c:scaling>
        <c:axPos val="b"/>
        <c:title>
          <c:tx>
            <c:rich>
              <a:bodyPr vert="horz" rot="0" anchor="ctr"/>
              <a:lstStyle/>
              <a:p>
                <a:pPr algn="ctr">
                  <a:defRPr/>
                </a:pPr>
                <a:r>
                  <a:rPr lang="en-US" cap="none" sz="1200" b="1" i="0" u="none" baseline="0">
                    <a:latin typeface="Arial"/>
                    <a:ea typeface="Arial"/>
                    <a:cs typeface="Arial"/>
                  </a:rPr>
                  <a:t>dihedral</a:t>
                </a:r>
              </a:p>
            </c:rich>
          </c:tx>
          <c:layout/>
          <c:overlay val="0"/>
          <c:spPr>
            <a:noFill/>
            <a:ln>
              <a:noFill/>
            </a:ln>
          </c:spPr>
        </c:title>
        <c:majorGridlines/>
        <c:delete val="0"/>
        <c:numFmt formatCode="General" sourceLinked="1"/>
        <c:majorTickMark val="out"/>
        <c:minorTickMark val="none"/>
        <c:tickLblPos val="nextTo"/>
        <c:crossAx val="21600677"/>
        <c:crosses val="autoZero"/>
        <c:crossBetween val="midCat"/>
        <c:dispUnits/>
        <c:majorUnit val="30"/>
        <c:minorUnit val="15"/>
      </c:valAx>
      <c:valAx>
        <c:axId val="21600677"/>
        <c:scaling>
          <c:orientation val="minMax"/>
          <c:max val="12"/>
          <c:min val="4"/>
        </c:scaling>
        <c:axPos val="l"/>
        <c:title>
          <c:tx>
            <c:rich>
              <a:bodyPr vert="horz" rot="-5400000" anchor="ctr"/>
              <a:lstStyle/>
              <a:p>
                <a:pPr algn="ctr">
                  <a:defRPr/>
                </a:pPr>
                <a:r>
                  <a:rPr lang="en-US" cap="none" sz="1200" b="1" i="0" u="none" baseline="0">
                    <a:latin typeface="Arial"/>
                    <a:ea typeface="Arial"/>
                    <a:cs typeface="Arial"/>
                  </a:rPr>
                  <a:t>E(kcal/mol)</a:t>
                </a:r>
              </a:p>
            </c:rich>
          </c:tx>
          <c:layout/>
          <c:overlay val="0"/>
          <c:spPr>
            <a:noFill/>
            <a:ln>
              <a:noFill/>
            </a:ln>
          </c:spPr>
        </c:title>
        <c:majorGridlines/>
        <c:delete val="0"/>
        <c:numFmt formatCode="General" sourceLinked="1"/>
        <c:majorTickMark val="out"/>
        <c:minorTickMark val="none"/>
        <c:tickLblPos val="nextTo"/>
        <c:crossAx val="17313156"/>
        <c:crosses val="autoZero"/>
        <c:crossBetween val="midCat"/>
        <c:dispUnits/>
        <c:minorUnit val="1"/>
      </c:valAx>
      <c:spPr>
        <a:solidFill>
          <a:srgbClr val="C0C0C0"/>
        </a:solidFill>
        <a:ln w="12700">
          <a:solidFill>
            <a:srgbClr val="808080"/>
          </a:solidFill>
        </a:ln>
      </c:spPr>
    </c:plotArea>
    <c:legend>
      <c:legendPos val="r"/>
      <c:layout>
        <c:manualLayout>
          <c:xMode val="edge"/>
          <c:yMode val="edge"/>
          <c:x val="0.7115"/>
          <c:y val="0.07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03"/>
          <c:w val="0.92125"/>
          <c:h val="0.946"/>
        </c:manualLayout>
      </c:layout>
      <c:scatterChart>
        <c:scatterStyle val="smoothMarker"/>
        <c:varyColors val="0"/>
        <c:ser>
          <c:idx val="0"/>
          <c:order val="0"/>
          <c:tx>
            <c:v>O-CF2-CF2-O</c:v>
          </c:tx>
          <c:extLst>
            <c:ext xmlns:c14="http://schemas.microsoft.com/office/drawing/2007/8/2/chart" uri="{6F2FDCE9-48DA-4B69-8628-5D25D57E5C99}">
              <c14:invertSolidFillFmt>
                <c14:spPr>
                  <a:solidFill>
                    <a:srgbClr val="000000"/>
                  </a:solidFill>
                </c14:spPr>
              </c14:invertSolidFillFmt>
            </c:ext>
          </c:extLst>
          <c:marker>
            <c:symbol val="diamond"/>
          </c:marker>
          <c:xVal>
            <c:numRef>
              <c:f>Urata!$A$169:$A$241</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Urata!$J$169:$J$241</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60188366"/>
        <c:axId val="4824383"/>
      </c:scatterChart>
      <c:valAx>
        <c:axId val="60188366"/>
        <c:scaling>
          <c:orientation val="minMax"/>
          <c:max val="180"/>
          <c:min val="-180"/>
        </c:scaling>
        <c:axPos val="b"/>
        <c:title>
          <c:tx>
            <c:rich>
              <a:bodyPr vert="horz" rot="0" anchor="ctr"/>
              <a:lstStyle/>
              <a:p>
                <a:pPr algn="ctr">
                  <a:defRPr/>
                </a:pPr>
                <a:r>
                  <a:rPr lang="en-US" cap="none" sz="1525" b="1" i="0" u="none" baseline="0">
                    <a:latin typeface="Arial"/>
                    <a:ea typeface="Arial"/>
                    <a:cs typeface="Arial"/>
                  </a:rPr>
                  <a:t>dihedral</a:t>
                </a:r>
              </a:p>
            </c:rich>
          </c:tx>
          <c:layout/>
          <c:overlay val="0"/>
          <c:spPr>
            <a:noFill/>
            <a:ln>
              <a:noFill/>
            </a:ln>
          </c:spPr>
        </c:title>
        <c:delete val="0"/>
        <c:numFmt formatCode="General" sourceLinked="1"/>
        <c:majorTickMark val="out"/>
        <c:minorTickMark val="none"/>
        <c:tickLblPos val="nextTo"/>
        <c:crossAx val="4824383"/>
        <c:crosses val="autoZero"/>
        <c:crossBetween val="midCat"/>
        <c:dispUnits/>
        <c:majorUnit val="30"/>
        <c:minorUnit val="15"/>
      </c:valAx>
      <c:valAx>
        <c:axId val="4824383"/>
        <c:scaling>
          <c:orientation val="minMax"/>
        </c:scaling>
        <c:axPos val="l"/>
        <c:title>
          <c:tx>
            <c:rich>
              <a:bodyPr vert="horz" rot="-5400000" anchor="ctr"/>
              <a:lstStyle/>
              <a:p>
                <a:pPr algn="ctr">
                  <a:defRPr/>
                </a:pPr>
                <a:r>
                  <a:rPr lang="en-US" cap="none" sz="1525" b="1" i="0" u="none" baseline="0">
                    <a:latin typeface="Arial"/>
                    <a:ea typeface="Arial"/>
                    <a:cs typeface="Arial"/>
                  </a:rPr>
                  <a:t>E(kcal/mol)</a:t>
                </a:r>
              </a:p>
            </c:rich>
          </c:tx>
          <c:layout/>
          <c:overlay val="0"/>
          <c:spPr>
            <a:noFill/>
            <a:ln>
              <a:noFill/>
            </a:ln>
          </c:spPr>
        </c:title>
        <c:majorGridlines/>
        <c:delete val="0"/>
        <c:numFmt formatCode="General" sourceLinked="1"/>
        <c:majorTickMark val="out"/>
        <c:minorTickMark val="none"/>
        <c:tickLblPos val="nextTo"/>
        <c:crossAx val="60188366"/>
        <c:crosses val="autoZero"/>
        <c:crossBetween val="midCat"/>
        <c:dispUnits/>
      </c:valAx>
      <c:spPr>
        <a:solidFill>
          <a:srgbClr val="C0C0C0"/>
        </a:solidFill>
        <a:ln w="12700">
          <a:solidFill>
            <a:srgbClr val="808080"/>
          </a:solidFill>
        </a:ln>
      </c:spPr>
    </c:plotArea>
    <c:legend>
      <c:legendPos val="r"/>
      <c:layout>
        <c:manualLayout>
          <c:xMode val="edge"/>
          <c:yMode val="edge"/>
          <c:x val="0.641"/>
          <c:y val="0.11775"/>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
          <c:w val="0.93725"/>
          <c:h val="0.94275"/>
        </c:manualLayout>
      </c:layout>
      <c:scatterChart>
        <c:scatterStyle val="smoothMarker"/>
        <c:varyColors val="0"/>
        <c:ser>
          <c:idx val="0"/>
          <c:order val="0"/>
          <c:tx>
            <c:v>CF2-CF2-S-O</c:v>
          </c:tx>
          <c:extLst>
            <c:ext xmlns:c14="http://schemas.microsoft.com/office/drawing/2007/8/2/chart" uri="{6F2FDCE9-48DA-4B69-8628-5D25D57E5C99}">
              <c14:invertSolidFillFmt>
                <c14:spPr>
                  <a:solidFill>
                    <a:srgbClr val="000000"/>
                  </a:solidFill>
                </c14:spPr>
              </c14:invertSolidFillFmt>
            </c:ext>
          </c:extLst>
          <c:marker>
            <c:symbol val="diamond"/>
          </c:marker>
          <c:xVal>
            <c:numRef>
              <c:f>Urata!$A$246:$A$318</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Urata!$E$246:$E$318</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43419448"/>
        <c:axId val="55230713"/>
      </c:scatterChart>
      <c:valAx>
        <c:axId val="43419448"/>
        <c:scaling>
          <c:orientation val="minMax"/>
          <c:max val="180"/>
          <c:min val="-180"/>
        </c:scaling>
        <c:axPos val="b"/>
        <c:title>
          <c:tx>
            <c:rich>
              <a:bodyPr vert="horz" rot="0" anchor="ctr"/>
              <a:lstStyle/>
              <a:p>
                <a:pPr algn="ctr">
                  <a:defRPr/>
                </a:pPr>
                <a:r>
                  <a:rPr lang="en-US" cap="none" sz="1125" b="1" i="0" u="none" baseline="0">
                    <a:latin typeface="Arial"/>
                    <a:ea typeface="Arial"/>
                    <a:cs typeface="Arial"/>
                  </a:rPr>
                  <a:t>dihedral</a:t>
                </a:r>
              </a:p>
            </c:rich>
          </c:tx>
          <c:layout/>
          <c:overlay val="0"/>
          <c:spPr>
            <a:noFill/>
            <a:ln>
              <a:noFill/>
            </a:ln>
          </c:spPr>
        </c:title>
        <c:majorGridlines/>
        <c:delete val="0"/>
        <c:numFmt formatCode="General" sourceLinked="1"/>
        <c:majorTickMark val="out"/>
        <c:minorTickMark val="none"/>
        <c:tickLblPos val="nextTo"/>
        <c:crossAx val="55230713"/>
        <c:crosses val="autoZero"/>
        <c:crossBetween val="midCat"/>
        <c:dispUnits/>
        <c:majorUnit val="30"/>
        <c:minorUnit val="15"/>
      </c:valAx>
      <c:valAx>
        <c:axId val="55230713"/>
        <c:scaling>
          <c:orientation val="minMax"/>
        </c:scaling>
        <c:axPos val="l"/>
        <c:title>
          <c:tx>
            <c:rich>
              <a:bodyPr vert="horz" rot="-5400000" anchor="ctr"/>
              <a:lstStyle/>
              <a:p>
                <a:pPr algn="ctr">
                  <a:defRPr/>
                </a:pPr>
                <a:r>
                  <a:rPr lang="en-US" cap="none" sz="1125" b="1" i="0" u="none" baseline="0">
                    <a:latin typeface="Arial"/>
                    <a:ea typeface="Arial"/>
                    <a:cs typeface="Arial"/>
                  </a:rPr>
                  <a:t>E(kcal/mol)</a:t>
                </a:r>
              </a:p>
            </c:rich>
          </c:tx>
          <c:layout/>
          <c:overlay val="0"/>
          <c:spPr>
            <a:noFill/>
            <a:ln>
              <a:noFill/>
            </a:ln>
          </c:spPr>
        </c:title>
        <c:majorGridlines/>
        <c:delete val="0"/>
        <c:numFmt formatCode="General" sourceLinked="1"/>
        <c:majorTickMark val="out"/>
        <c:minorTickMark val="none"/>
        <c:tickLblPos val="nextTo"/>
        <c:crossAx val="43419448"/>
        <c:crosses val="autoZero"/>
        <c:crossBetween val="midCat"/>
        <c:dispUnits/>
      </c:valAx>
      <c:spPr>
        <a:solidFill>
          <a:srgbClr val="C0C0C0"/>
        </a:solidFill>
        <a:ln w="12700">
          <a:solidFill>
            <a:srgbClr val="808080"/>
          </a:solidFill>
        </a:ln>
      </c:spPr>
    </c:plotArea>
    <c:legend>
      <c:legendPos val="r"/>
      <c:layout>
        <c:manualLayout>
          <c:xMode val="edge"/>
          <c:yMode val="edge"/>
          <c:x val="0.6815"/>
          <c:y val="0.09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
          <c:w val="0.948"/>
          <c:h val="0.927"/>
        </c:manualLayout>
      </c:layout>
      <c:scatterChart>
        <c:scatterStyle val="smoothMarker"/>
        <c:varyColors val="0"/>
        <c:ser>
          <c:idx val="0"/>
          <c:order val="0"/>
          <c:tx>
            <c:v>F-F LJ(Goddard)</c:v>
          </c:tx>
          <c:extLst>
            <c:ext xmlns:c14="http://schemas.microsoft.com/office/drawing/2007/8/2/chart" uri="{6F2FDCE9-48DA-4B69-8628-5D25D57E5C99}">
              <c14:invertSolidFillFmt>
                <c14:spPr>
                  <a:solidFill>
                    <a:srgbClr val="000000"/>
                  </a:solidFill>
                </c14:spPr>
              </c14:invertSolidFillFmt>
            </c:ext>
          </c:extLst>
          <c:marker>
            <c:symbol val="diamond"/>
          </c:marker>
          <c:xVal>
            <c:numRef>
              <c:f>Goddard!$A$42:$A$61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Goddard!$D$42:$D$61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v>F-F lj2buck DREIDING</c:v>
          </c:tx>
          <c:extLst>
            <c:ext xmlns:c14="http://schemas.microsoft.com/office/drawing/2007/8/2/chart" uri="{6F2FDCE9-48DA-4B69-8628-5D25D57E5C99}">
              <c14:invertSolidFillFmt>
                <c14:spPr>
                  <a:solidFill>
                    <a:srgbClr val="000000"/>
                  </a:solidFill>
                </c14:spPr>
              </c14:invertSolidFillFmt>
            </c:ext>
          </c:extLst>
          <c:marker>
            <c:symbol val="square"/>
          </c:marker>
          <c:xVal>
            <c:numRef>
              <c:f>Goddard!$A$42:$A$61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Goddard!$H$42:$H$61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v>F-F deriveq based buck</c:v>
          </c:tx>
          <c:extLst>
            <c:ext xmlns:c14="http://schemas.microsoft.com/office/drawing/2007/8/2/chart" uri="{6F2FDCE9-48DA-4B69-8628-5D25D57E5C99}">
              <c14:invertSolidFillFmt>
                <c14:spPr>
                  <a:solidFill>
                    <a:srgbClr val="000000"/>
                  </a:solidFill>
                </c14:spPr>
              </c14:invertSolidFillFmt>
            </c:ext>
          </c:extLst>
          <c:marker>
            <c:symbol val="triangle"/>
          </c:marker>
          <c:xVal>
            <c:numRef>
              <c:f>Goddard!$A$42:$A$61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Goddard!$L$42:$L$61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27314370"/>
        <c:axId val="44502739"/>
      </c:scatterChart>
      <c:valAx>
        <c:axId val="27314370"/>
        <c:scaling>
          <c:orientation val="minMax"/>
          <c:max val="4"/>
          <c:min val="2"/>
        </c:scaling>
        <c:axPos val="b"/>
        <c:title>
          <c:tx>
            <c:rich>
              <a:bodyPr vert="horz" rot="0" anchor="ctr"/>
              <a:lstStyle/>
              <a:p>
                <a:pPr algn="ctr">
                  <a:defRPr/>
                </a:pPr>
                <a:r>
                  <a:rPr lang="en-US" cap="none" sz="1600" b="1" i="0" u="none" baseline="0">
                    <a:latin typeface="Arial"/>
                    <a:ea typeface="Arial"/>
                    <a:cs typeface="Arial"/>
                  </a:rPr>
                  <a:t>r(Å)</a:t>
                </a:r>
              </a:p>
            </c:rich>
          </c:tx>
          <c:layout/>
          <c:overlay val="0"/>
          <c:spPr>
            <a:noFill/>
            <a:ln>
              <a:noFill/>
            </a:ln>
          </c:spPr>
        </c:title>
        <c:majorGridlines/>
        <c:delete val="0"/>
        <c:numFmt formatCode="General" sourceLinked="1"/>
        <c:majorTickMark val="out"/>
        <c:minorTickMark val="none"/>
        <c:tickLblPos val="nextTo"/>
        <c:crossAx val="44502739"/>
        <c:crosses val="autoZero"/>
        <c:crossBetween val="midCat"/>
        <c:dispUnits/>
        <c:majorUnit val="0.2"/>
        <c:minorUnit val="0.1"/>
      </c:valAx>
      <c:valAx>
        <c:axId val="44502739"/>
        <c:scaling>
          <c:orientation val="minMax"/>
          <c:max val="5"/>
          <c:min val="-1"/>
        </c:scaling>
        <c:axPos val="l"/>
        <c:title>
          <c:tx>
            <c:rich>
              <a:bodyPr vert="horz" rot="-5400000" anchor="ctr"/>
              <a:lstStyle/>
              <a:p>
                <a:pPr algn="ctr">
                  <a:defRPr/>
                </a:pPr>
                <a:r>
                  <a:rPr lang="en-US" cap="none" sz="1600" b="1" i="0" u="none" baseline="0">
                    <a:latin typeface="Arial"/>
                    <a:ea typeface="Arial"/>
                    <a:cs typeface="Arial"/>
                  </a:rPr>
                  <a:t>E(kcal/mol)</a:t>
                </a:r>
              </a:p>
            </c:rich>
          </c:tx>
          <c:layout/>
          <c:overlay val="0"/>
          <c:spPr>
            <a:noFill/>
            <a:ln>
              <a:noFill/>
            </a:ln>
          </c:spPr>
        </c:title>
        <c:majorGridlines/>
        <c:delete val="0"/>
        <c:numFmt formatCode="General" sourceLinked="1"/>
        <c:majorTickMark val="out"/>
        <c:minorTickMark val="none"/>
        <c:tickLblPos val="nextTo"/>
        <c:crossAx val="27314370"/>
        <c:crosses val="autoZero"/>
        <c:crossBetween val="midCat"/>
        <c:dispUnits/>
        <c:majorUnit val="1"/>
        <c:minorUnit val="0.5"/>
      </c:valAx>
      <c:spPr>
        <a:solidFill>
          <a:srgbClr val="C0C0C0"/>
        </a:solidFill>
        <a:ln w="12700">
          <a:solidFill>
            <a:srgbClr val="808080"/>
          </a:solidFill>
        </a:ln>
      </c:spPr>
    </c:plotArea>
    <c:legend>
      <c:legendPos val="r"/>
      <c:layout>
        <c:manualLayout>
          <c:xMode val="edge"/>
          <c:yMode val="edge"/>
          <c:x val="0.63"/>
          <c:y val="0.098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5"/>
          <c:w val="0.96425"/>
          <c:h val="0.9095"/>
        </c:manualLayout>
      </c:layout>
      <c:scatterChart>
        <c:scatterStyle val="smoothMarker"/>
        <c:varyColors val="0"/>
        <c:ser>
          <c:idx val="0"/>
          <c:order val="0"/>
          <c:tx>
            <c:v>Li+Li+(Buckingham,DSIII)</c:v>
          </c:tx>
          <c:extLst>
            <c:ext xmlns:c14="http://schemas.microsoft.com/office/drawing/2007/8/2/chart" uri="{6F2FDCE9-48DA-4B69-8628-5D25D57E5C99}">
              <c14:invertSolidFillFmt>
                <c14:spPr>
                  <a:solidFill>
                    <a:srgbClr val="000000"/>
                  </a:solidFill>
                </c14:spPr>
              </c14:invertSolidFillFmt>
            </c:ext>
          </c:extLst>
          <c:marker>
            <c:symbol val="diamond"/>
          </c:marker>
          <c:xVal>
            <c:numRef>
              <c:f>DanielS!$J$2:$J$20</c:f>
              <c:numCache/>
            </c:numRef>
          </c:xVal>
          <c:yVal>
            <c:numRef>
              <c:f>DanielS!$K$2:$K$20</c:f>
              <c:numCache/>
            </c:numRef>
          </c:yVal>
          <c:smooth val="1"/>
        </c:ser>
        <c:ser>
          <c:idx val="1"/>
          <c:order val="1"/>
          <c:tx>
            <c:v>Na+Na+(BuckinghamDS:VI)</c:v>
          </c:tx>
          <c:extLst>
            <c:ext xmlns:c14="http://schemas.microsoft.com/office/drawing/2007/8/2/chart" uri="{6F2FDCE9-48DA-4B69-8628-5D25D57E5C99}">
              <c14:invertSolidFillFmt>
                <c14:spPr>
                  <a:solidFill>
                    <a:srgbClr val="000000"/>
                  </a:solidFill>
                </c14:spPr>
              </c14:invertSolidFillFmt>
            </c:ext>
          </c:extLst>
          <c:marker>
            <c:symbol val="square"/>
          </c:marker>
          <c:xVal>
            <c:numRef>
              <c:f>DanielS!$J$9:$J$20</c:f>
              <c:numCache/>
            </c:numRef>
          </c:xVal>
          <c:yVal>
            <c:numRef>
              <c:f>DanielS!$L$9:$L$20</c:f>
              <c:numCache/>
            </c:numRef>
          </c:yVal>
          <c:smooth val="1"/>
        </c:ser>
        <c:ser>
          <c:idx val="2"/>
          <c:order val="2"/>
          <c:tx>
            <c:v>Li+Li+ Borodin</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DanielS!$J$2:$J$20</c:f>
              <c:numCache/>
            </c:numRef>
          </c:xVal>
          <c:yVal>
            <c:numRef>
              <c:f>DanielS!$M$2:$M$20</c:f>
              <c:numCache/>
            </c:numRef>
          </c:yVal>
          <c:smooth val="1"/>
        </c:ser>
        <c:ser>
          <c:idx val="3"/>
          <c:order val="3"/>
          <c:tx>
            <c:v>Li+...Li+ LJ from Goddard, E,dE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DanielS!$J$2:$J$20</c:f>
              <c:numCache/>
            </c:numRef>
          </c:xVal>
          <c:yVal>
            <c:numRef>
              <c:f>DanielS!$N$2:$N$20</c:f>
              <c:numCache/>
            </c:numRef>
          </c:yVal>
          <c:smooth val="1"/>
        </c:ser>
        <c:ser>
          <c:idx val="4"/>
          <c:order val="4"/>
          <c:tx>
            <c:v>NA+Na+ LJ from Goddard E,dE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DanielS!$J$2:$J$20</c:f>
              <c:numCache/>
            </c:numRef>
          </c:xVal>
          <c:yVal>
            <c:numRef>
              <c:f>DanielS!$O$2:$O$20</c:f>
              <c:numCache/>
            </c:numRef>
          </c:yVal>
          <c:smooth val="1"/>
        </c:ser>
        <c:axId val="64980332"/>
        <c:axId val="47952077"/>
      </c:scatterChart>
      <c:valAx>
        <c:axId val="64980332"/>
        <c:scaling>
          <c:orientation val="minMax"/>
          <c:max val="3"/>
          <c:min val="1"/>
        </c:scaling>
        <c:axPos val="b"/>
        <c:title>
          <c:tx>
            <c:rich>
              <a:bodyPr vert="horz" rot="0" anchor="ctr"/>
              <a:lstStyle/>
              <a:p>
                <a:pPr algn="ctr">
                  <a:defRPr/>
                </a:pPr>
                <a:r>
                  <a:rPr lang="en-US" cap="none" sz="1200" b="1" i="0" u="none" baseline="0">
                    <a:latin typeface="Arial"/>
                    <a:ea typeface="Arial"/>
                    <a:cs typeface="Arial"/>
                  </a:rPr>
                  <a:t>r/A</a:t>
                </a:r>
              </a:p>
            </c:rich>
          </c:tx>
          <c:layout/>
          <c:overlay val="0"/>
          <c:spPr>
            <a:noFill/>
            <a:ln>
              <a:noFill/>
            </a:ln>
          </c:spPr>
        </c:title>
        <c:majorGridlines/>
        <c:delete val="0"/>
        <c:numFmt formatCode="General" sourceLinked="1"/>
        <c:majorTickMark val="out"/>
        <c:minorTickMark val="none"/>
        <c:tickLblPos val="nextTo"/>
        <c:crossAx val="47952077"/>
        <c:crossesAt val="0"/>
        <c:crossBetween val="midCat"/>
        <c:dispUnits/>
        <c:majorUnit val="0.2"/>
      </c:valAx>
      <c:valAx>
        <c:axId val="47952077"/>
        <c:scaling>
          <c:orientation val="minMax"/>
          <c:max val="3"/>
          <c:min val="-1.5"/>
        </c:scaling>
        <c:axPos val="l"/>
        <c:title>
          <c:tx>
            <c:rich>
              <a:bodyPr vert="horz" rot="-5400000" anchor="ctr"/>
              <a:lstStyle/>
              <a:p>
                <a:pPr algn="ctr">
                  <a:defRPr/>
                </a:pPr>
                <a:r>
                  <a:rPr lang="en-US" cap="none" sz="1200" b="1" i="0" u="none" baseline="0">
                    <a:latin typeface="Arial"/>
                    <a:ea typeface="Arial"/>
                    <a:cs typeface="Arial"/>
                  </a:rPr>
                  <a:t>E/kcal/mol</a:t>
                </a:r>
              </a:p>
            </c:rich>
          </c:tx>
          <c:layout/>
          <c:overlay val="0"/>
          <c:spPr>
            <a:noFill/>
            <a:ln>
              <a:noFill/>
            </a:ln>
          </c:spPr>
        </c:title>
        <c:majorGridlines/>
        <c:delete val="0"/>
        <c:numFmt formatCode="General" sourceLinked="1"/>
        <c:majorTickMark val="out"/>
        <c:minorTickMark val="none"/>
        <c:tickLblPos val="nextTo"/>
        <c:crossAx val="64980332"/>
        <c:crosses val="autoZero"/>
        <c:crossBetween val="midCat"/>
        <c:dispUnits/>
        <c:majorUnit val="0.5"/>
        <c:minorUnit val="0.25"/>
      </c:valAx>
      <c:spPr>
        <a:noFill/>
        <a:ln w="12700">
          <a:solidFill>
            <a:srgbClr val="FFFFFF"/>
          </a:solidFill>
        </a:ln>
      </c:spPr>
    </c:plotArea>
    <c:legend>
      <c:legendPos val="r"/>
      <c:layout>
        <c:manualLayout>
          <c:xMode val="edge"/>
          <c:yMode val="edge"/>
          <c:x val="0.53925"/>
          <c:y val="0.0155"/>
          <c:w val="0.434"/>
          <c:h val="0.345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02125"/>
          <c:w val="0.892"/>
          <c:h val="0.8625"/>
        </c:manualLayout>
      </c:layout>
      <c:scatterChart>
        <c:scatterStyle val="smoothMarker"/>
        <c:varyColors val="0"/>
        <c:ser>
          <c:idx val="0"/>
          <c:order val="0"/>
          <c:tx>
            <c:v>C-C-C-C</c:v>
          </c:tx>
          <c:extLst>
            <c:ext xmlns:c14="http://schemas.microsoft.com/office/drawing/2007/8/2/chart" uri="{6F2FDCE9-48DA-4B69-8628-5D25D57E5C99}">
              <c14:invertSolidFillFmt>
                <c14:spPr>
                  <a:solidFill>
                    <a:srgbClr val="000000"/>
                  </a:solidFill>
                </c14:spPr>
              </c14:invertSolidFillFmt>
            </c:ext>
          </c:extLst>
          <c:marker>
            <c:symbol val="diamond"/>
          </c:marker>
          <c:xVal>
            <c:numRef>
              <c:f>Borodin!$A$8:$A$44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Borodin!$I$8:$I$44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1"/>
        </c:ser>
        <c:ser>
          <c:idx val="1"/>
          <c:order val="1"/>
          <c:tx>
            <c:v>F-C-C-F</c:v>
          </c:tx>
          <c:extLst>
            <c:ext xmlns:c14="http://schemas.microsoft.com/office/drawing/2007/8/2/chart" uri="{6F2FDCE9-48DA-4B69-8628-5D25D57E5C99}">
              <c14:invertSolidFillFmt>
                <c14:spPr>
                  <a:solidFill>
                    <a:srgbClr val="000000"/>
                  </a:solidFill>
                </c14:spPr>
              </c14:invertSolidFillFmt>
            </c:ext>
          </c:extLst>
          <c:marker>
            <c:symbol val="square"/>
          </c:marker>
          <c:xVal>
            <c:numRef>
              <c:f>Borodin!$A$48:$A$84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Borodin!$B$48:$B$84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1"/>
        </c:ser>
        <c:ser>
          <c:idx val="2"/>
          <c:order val="2"/>
          <c:tx>
            <c:v>total</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Borodin!$A$48:$A$84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Borodin!$C$48:$C$84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1"/>
        </c:ser>
        <c:ser>
          <c:idx val="3"/>
          <c:order val="3"/>
          <c:tx>
            <c:v>effective</c:v>
          </c:tx>
          <c:extLst>
            <c:ext xmlns:c14="http://schemas.microsoft.com/office/drawing/2007/8/2/chart" uri="{6F2FDCE9-48DA-4B69-8628-5D25D57E5C99}">
              <c14:invertSolidFillFmt>
                <c14:spPr>
                  <a:solidFill>
                    <a:srgbClr val="000000"/>
                  </a:solidFill>
                </c14:spPr>
              </c14:invertSolidFillFmt>
            </c:ext>
          </c:extLst>
          <c:marker>
            <c:symbol val="x"/>
          </c:marker>
          <c:xVal>
            <c:numRef>
              <c:f>Borodin!$A$133:$A$169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Borodin!$I$133:$I$169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1"/>
        </c:ser>
        <c:axId val="28915510"/>
        <c:axId val="58912999"/>
      </c:scatterChart>
      <c:valAx>
        <c:axId val="28915510"/>
        <c:scaling>
          <c:orientation val="minMax"/>
          <c:max val="180"/>
          <c:min val="-180"/>
        </c:scaling>
        <c:axPos val="b"/>
        <c:title>
          <c:tx>
            <c:rich>
              <a:bodyPr vert="horz" rot="0" anchor="ctr"/>
              <a:lstStyle/>
              <a:p>
                <a:pPr algn="ctr">
                  <a:defRPr/>
                </a:pPr>
                <a:r>
                  <a:rPr lang="en-US" cap="none" sz="1075" b="1" i="0" u="none" baseline="0">
                    <a:latin typeface="Arial"/>
                    <a:ea typeface="Arial"/>
                    <a:cs typeface="Arial"/>
                  </a:rPr>
                  <a:t>angle</a:t>
                </a:r>
              </a:p>
            </c:rich>
          </c:tx>
          <c:layout/>
          <c:overlay val="0"/>
          <c:spPr>
            <a:noFill/>
            <a:ln>
              <a:noFill/>
            </a:ln>
          </c:spPr>
        </c:title>
        <c:majorGridlines/>
        <c:delete val="0"/>
        <c:numFmt formatCode="General" sourceLinked="1"/>
        <c:majorTickMark val="out"/>
        <c:minorTickMark val="none"/>
        <c:tickLblPos val="nextTo"/>
        <c:crossAx val="58912999"/>
        <c:crosses val="autoZero"/>
        <c:crossBetween val="midCat"/>
        <c:dispUnits/>
        <c:majorUnit val="30"/>
        <c:minorUnit val="15"/>
      </c:valAx>
      <c:valAx>
        <c:axId val="58912999"/>
        <c:scaling>
          <c:orientation val="minMax"/>
        </c:scaling>
        <c:axPos val="l"/>
        <c:title>
          <c:tx>
            <c:rich>
              <a:bodyPr vert="horz" rot="-5400000" anchor="ctr"/>
              <a:lstStyle/>
              <a:p>
                <a:pPr algn="ctr">
                  <a:defRPr/>
                </a:pPr>
                <a:r>
                  <a:rPr lang="en-US" cap="none" sz="1075" b="1" i="0" u="none" baseline="0">
                    <a:latin typeface="Arial"/>
                    <a:ea typeface="Arial"/>
                    <a:cs typeface="Arial"/>
                  </a:rPr>
                  <a:t>E</a:t>
                </a:r>
              </a:p>
            </c:rich>
          </c:tx>
          <c:layout/>
          <c:overlay val="0"/>
          <c:spPr>
            <a:noFill/>
            <a:ln>
              <a:noFill/>
            </a:ln>
          </c:spPr>
        </c:title>
        <c:majorGridlines/>
        <c:delete val="0"/>
        <c:numFmt formatCode="General" sourceLinked="1"/>
        <c:majorTickMark val="out"/>
        <c:minorTickMark val="none"/>
        <c:tickLblPos val="nextTo"/>
        <c:crossAx val="28915510"/>
        <c:crosses val="autoZero"/>
        <c:crossBetween val="midCat"/>
        <c:dispUnits/>
      </c:valAx>
      <c:spPr>
        <a:noFill/>
        <a:ln w="12700">
          <a:solidFill>
            <a:srgbClr val="808080"/>
          </a:solidFill>
        </a:ln>
      </c:spPr>
    </c:plotArea>
    <c:legend>
      <c:legendPos val="r"/>
      <c:layout>
        <c:manualLayout>
          <c:xMode val="edge"/>
          <c:yMode val="edge"/>
          <c:x val="0.73075"/>
          <c:y val="0"/>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
          <c:w val="0.962"/>
          <c:h val="0.94625"/>
        </c:manualLayout>
      </c:layout>
      <c:scatterChart>
        <c:scatterStyle val="smoothMarker"/>
        <c:varyColors val="0"/>
        <c:ser>
          <c:idx val="0"/>
          <c:order val="0"/>
          <c:tx>
            <c:v>Buckinham(C...C)</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Borodin!$A$94:$A$114</c:f>
              <c:numCache/>
            </c:numRef>
          </c:xVal>
          <c:yVal>
            <c:numRef>
              <c:f>Borodin!$B$94:$B$114</c:f>
              <c:numCache/>
            </c:numRef>
          </c:yVal>
          <c:smooth val="1"/>
        </c:ser>
        <c:ser>
          <c:idx val="1"/>
          <c:order val="1"/>
          <c:tx>
            <c:v>Buckingham(F...F)</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Borodin!$A$94:$A$114</c:f>
              <c:numCache/>
            </c:numRef>
          </c:xVal>
          <c:yVal>
            <c:numRef>
              <c:f>Borodin!$C$94:$C$114</c:f>
              <c:numCache/>
            </c:numRef>
          </c:yVal>
          <c:smooth val="1"/>
        </c:ser>
        <c:ser>
          <c:idx val="2"/>
          <c:order val="2"/>
          <c:tx>
            <c:v>Buckingham(C...F)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Borodin!$A$94:$A$114</c:f>
              <c:numCache/>
            </c:numRef>
          </c:xVal>
          <c:yVal>
            <c:numRef>
              <c:f>Borodin!$D$94:$D$114</c:f>
              <c:numCache/>
            </c:numRef>
          </c:yVal>
          <c:smooth val="1"/>
        </c:ser>
        <c:ser>
          <c:idx val="3"/>
          <c:order val="3"/>
          <c:tx>
            <c:v>LJ(C..C), same C, E=0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FF0000"/>
                </a:solidFill>
              </a:ln>
            </c:spPr>
          </c:marker>
          <c:xVal>
            <c:numRef>
              <c:f>Borodin!$A$94:$A$114</c:f>
              <c:numCache/>
            </c:numRef>
          </c:xVal>
          <c:yVal>
            <c:numRef>
              <c:f>Borodin!$E$94:$E$114</c:f>
              <c:numCache/>
            </c:numRef>
          </c:yVal>
          <c:smooth val="1"/>
        </c:ser>
        <c:ser>
          <c:idx val="4"/>
          <c:order val="4"/>
          <c:tx>
            <c:v>LJ(F..F), same C, E=0</c:v>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8000"/>
                </a:solidFill>
              </a:ln>
            </c:spPr>
          </c:marker>
          <c:xVal>
            <c:numRef>
              <c:f>Borodin!$A$94:$A$114</c:f>
              <c:numCache/>
            </c:numRef>
          </c:xVal>
          <c:yVal>
            <c:numRef>
              <c:f>Borodin!$F$94:$F$114</c:f>
              <c:numCache/>
            </c:numRef>
          </c:yVal>
          <c:smooth val="1"/>
        </c:ser>
        <c:ser>
          <c:idx val="5"/>
          <c:order val="5"/>
          <c:tx>
            <c:v>LJ(C...F), same C, E=0</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FF"/>
                </a:solidFill>
              </a:ln>
            </c:spPr>
          </c:marker>
          <c:xVal>
            <c:numRef>
              <c:f>Borodin!$A$94:$A$114</c:f>
              <c:numCache/>
            </c:numRef>
          </c:xVal>
          <c:yVal>
            <c:numRef>
              <c:f>Borodin!$G$94:$G$114</c:f>
              <c:numCache/>
            </c:numRef>
          </c:yVal>
          <c:smooth val="1"/>
        </c:ser>
        <c:ser>
          <c:idx val="6"/>
          <c:order val="6"/>
          <c:tx>
            <c:v>LJ(C...C), same E=0, dE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noFill/>
              </a:ln>
            </c:spPr>
          </c:marker>
          <c:xVal>
            <c:numRef>
              <c:f>Borodin!$A$94:$A$114</c:f>
              <c:numCache/>
            </c:numRef>
          </c:xVal>
          <c:yVal>
            <c:numRef>
              <c:f>Borodin!$H$94:$H$114</c:f>
              <c:numCache/>
            </c:numRef>
          </c:yVal>
          <c:smooth val="1"/>
        </c:ser>
        <c:ser>
          <c:idx val="7"/>
          <c:order val="7"/>
          <c:tx>
            <c:v>LJ(F...F), same E=0, dE</c:v>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noFill/>
              </a:ln>
            </c:spPr>
          </c:marker>
          <c:xVal>
            <c:numRef>
              <c:f>Borodin!$A$94:$A$114</c:f>
              <c:numCache/>
            </c:numRef>
          </c:xVal>
          <c:yVal>
            <c:numRef>
              <c:f>Borodin!$I$94:$I$114</c:f>
              <c:numCache/>
            </c:numRef>
          </c:yVal>
          <c:smooth val="1"/>
        </c:ser>
        <c:ser>
          <c:idx val="8"/>
          <c:order val="8"/>
          <c:tx>
            <c:v>LJ(C..F), same E=0, dE</c:v>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noFill/>
              </a:ln>
            </c:spPr>
          </c:marker>
          <c:xVal>
            <c:numRef>
              <c:f>Borodin!$A$94:$A$114</c:f>
              <c:numCache/>
            </c:numRef>
          </c:xVal>
          <c:yVal>
            <c:numRef>
              <c:f>Borodin!$J$94:$J$114</c:f>
              <c:numCache/>
            </c:numRef>
          </c:yVal>
          <c:smooth val="1"/>
        </c:ser>
        <c:axId val="60454944"/>
        <c:axId val="7223585"/>
      </c:scatterChart>
      <c:valAx>
        <c:axId val="60454944"/>
        <c:scaling>
          <c:orientation val="minMax"/>
          <c:max val="5"/>
          <c:min val="2"/>
        </c:scaling>
        <c:axPos val="b"/>
        <c:title>
          <c:tx>
            <c:rich>
              <a:bodyPr vert="horz" rot="0" anchor="ctr"/>
              <a:lstStyle/>
              <a:p>
                <a:pPr algn="ctr">
                  <a:defRPr/>
                </a:pPr>
                <a:r>
                  <a:rPr lang="en-US" cap="none" sz="2100" b="1" i="0" u="none" baseline="0">
                    <a:latin typeface="Arial"/>
                    <a:ea typeface="Arial"/>
                    <a:cs typeface="Arial"/>
                  </a:rPr>
                  <a:t>r/Å</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223585"/>
        <c:crosses val="autoZero"/>
        <c:crossBetween val="midCat"/>
        <c:dispUnits/>
        <c:majorUnit val="0.2"/>
        <c:minorUnit val="0.1"/>
      </c:valAx>
      <c:valAx>
        <c:axId val="7223585"/>
        <c:scaling>
          <c:orientation val="minMax"/>
          <c:max val="6"/>
          <c:min val="-0.5"/>
        </c:scaling>
        <c:axPos val="l"/>
        <c:title>
          <c:tx>
            <c:rich>
              <a:bodyPr vert="horz" rot="-5400000" anchor="ctr"/>
              <a:lstStyle/>
              <a:p>
                <a:pPr algn="ctr">
                  <a:defRPr/>
                </a:pPr>
                <a:r>
                  <a:rPr lang="en-US" cap="none" sz="2100" b="1" i="0" u="none" baseline="0">
                    <a:latin typeface="Arial"/>
                    <a:ea typeface="Arial"/>
                    <a:cs typeface="Arial"/>
                  </a:rPr>
                  <a:t>E(kcal/mol</a:t>
                </a:r>
              </a:p>
            </c:rich>
          </c:tx>
          <c:layout/>
          <c:overlay val="0"/>
          <c:spPr>
            <a:noFill/>
            <a:ln>
              <a:noFill/>
            </a:ln>
          </c:spPr>
        </c:title>
        <c:majorGridlines/>
        <c:delete val="0"/>
        <c:numFmt formatCode="General" sourceLinked="1"/>
        <c:majorTickMark val="out"/>
        <c:minorTickMark val="none"/>
        <c:tickLblPos val="nextTo"/>
        <c:crossAx val="60454944"/>
        <c:crosses val="autoZero"/>
        <c:crossBetween val="midCat"/>
        <c:dispUnits/>
        <c:majorUnit val="0.5"/>
        <c:minorUnit val="0.1"/>
      </c:valAx>
      <c:spPr>
        <a:noFill/>
        <a:ln w="12700">
          <a:solidFill>
            <a:srgbClr val="808080"/>
          </a:solidFill>
        </a:ln>
      </c:spPr>
    </c:plotArea>
    <c:legend>
      <c:legendPos val="r"/>
      <c:layout>
        <c:manualLayout>
          <c:xMode val="edge"/>
          <c:yMode val="edge"/>
          <c:x val="0.6065"/>
          <c:y val="0.1365"/>
          <c:w val="0.314"/>
          <c:h val="0.483"/>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sciencedirect.com/science?_ob=MathURL&amp;_method=retrieve&amp;_udi=B6TGD-4H40J23-1&amp;_mathId=mml4&amp;_cdi=5252&amp;_rdoc=1&amp;_ArticleListID=323984127&amp;_acct=C000035158&amp;_version=1&amp;_userid=651519&amp;md5=c024655007ae8ee0b26c028ae2bfe67d" TargetMode="External" /><Relationship Id="rId4" Type="http://schemas.openxmlformats.org/officeDocument/2006/relationships/hyperlink" Target="http://www.sciencedirect.com/science?_ob=MathURL&amp;_method=retrieve&amp;_udi=B6TGD-4H40J23-1&amp;_mathId=mml4&amp;_cdi=5252&amp;_rdoc=1&amp;_ArticleListID=323984127&amp;_acct=C000035158&amp;_version=1&amp;_userid=651519&amp;md5=c024655007ae8ee0b26c028ae2bfe67d" TargetMode="External" /><Relationship Id="rId5" Type="http://schemas.openxmlformats.org/officeDocument/2006/relationships/image" Target="../media/image4.png" /><Relationship Id="rId6" Type="http://schemas.openxmlformats.org/officeDocument/2006/relationships/hyperlink" Target="http://www.sciencedirect.com/science?_ob=MathURL&amp;_method=retrieve&amp;_udi=B6TGD-4H40J23-1&amp;_mathId=mml5&amp;_cdi=5252&amp;_rdoc=1&amp;_ArticleListID=323984127&amp;_acct=C000035158&amp;_version=1&amp;_userid=651519&amp;md5=567f16d9c821cb5d69002a375bfc5659" TargetMode="External" /><Relationship Id="rId7" Type="http://schemas.openxmlformats.org/officeDocument/2006/relationships/hyperlink" Target="http://www.sciencedirect.com/science?_ob=MathURL&amp;_method=retrieve&amp;_udi=B6TGD-4H40J23-1&amp;_mathId=mml5&amp;_cdi=5252&amp;_rdoc=1&amp;_ArticleListID=323984127&amp;_acct=C000035158&amp;_version=1&amp;_userid=651519&amp;md5=567f16d9c821cb5d69002a375bfc5659" TargetMode="External" /><Relationship Id="rId8" Type="http://schemas.openxmlformats.org/officeDocument/2006/relationships/image" Target="../media/image5.png" /><Relationship Id="rId9" Type="http://schemas.openxmlformats.org/officeDocument/2006/relationships/chart" Target="/xl/charts/chart1.xml" /><Relationship Id="rId10" Type="http://schemas.openxmlformats.org/officeDocument/2006/relationships/chart" Target="/xl/charts/chart2.xml" /><Relationship Id="rId1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7.emf" /><Relationship Id="rId4"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25</xdr:row>
      <xdr:rowOff>47625</xdr:rowOff>
    </xdr:from>
    <xdr:to>
      <xdr:col>0</xdr:col>
      <xdr:colOff>2543175</xdr:colOff>
      <xdr:row>33</xdr:row>
      <xdr:rowOff>66675</xdr:rowOff>
    </xdr:to>
    <xdr:pic>
      <xdr:nvPicPr>
        <xdr:cNvPr id="1" name="Picture 2" descr="Image"/>
        <xdr:cNvPicPr preferRelativeResize="1">
          <a:picLocks noChangeAspect="1"/>
        </xdr:cNvPicPr>
      </xdr:nvPicPr>
      <xdr:blipFill>
        <a:blip r:embed="rId1"/>
        <a:stretch>
          <a:fillRect/>
        </a:stretch>
      </xdr:blipFill>
      <xdr:spPr>
        <a:xfrm>
          <a:off x="352425" y="5067300"/>
          <a:ext cx="2190750" cy="1314450"/>
        </a:xfrm>
        <a:prstGeom prst="rect">
          <a:avLst/>
        </a:prstGeom>
        <a:noFill/>
        <a:ln w="9525" cmpd="sng">
          <a:noFill/>
        </a:ln>
      </xdr:spPr>
    </xdr:pic>
    <xdr:clientData/>
  </xdr:twoCellAnchor>
  <xdr:twoCellAnchor editAs="oneCell">
    <xdr:from>
      <xdr:col>0</xdr:col>
      <xdr:colOff>0</xdr:colOff>
      <xdr:row>36</xdr:row>
      <xdr:rowOff>0</xdr:rowOff>
    </xdr:from>
    <xdr:to>
      <xdr:col>0</xdr:col>
      <xdr:colOff>1514475</xdr:colOff>
      <xdr:row>38</xdr:row>
      <xdr:rowOff>66675</xdr:rowOff>
    </xdr:to>
    <xdr:pic>
      <xdr:nvPicPr>
        <xdr:cNvPr id="2" name="Picture 3" descr="Click to view the MathML source">
          <a:hlinkClick r:id="rId4"/>
        </xdr:cNvPr>
        <xdr:cNvPicPr preferRelativeResize="1">
          <a:picLocks noChangeAspect="1"/>
        </xdr:cNvPicPr>
      </xdr:nvPicPr>
      <xdr:blipFill>
        <a:blip r:embed="rId2"/>
        <a:stretch>
          <a:fillRect/>
        </a:stretch>
      </xdr:blipFill>
      <xdr:spPr>
        <a:xfrm>
          <a:off x="0" y="6800850"/>
          <a:ext cx="1514475" cy="390525"/>
        </a:xfrm>
        <a:prstGeom prst="rect">
          <a:avLst/>
        </a:prstGeom>
        <a:noFill/>
        <a:ln w="9525" cmpd="sng">
          <a:noFill/>
        </a:ln>
      </xdr:spPr>
    </xdr:pic>
    <xdr:clientData/>
  </xdr:twoCellAnchor>
  <xdr:twoCellAnchor editAs="oneCell">
    <xdr:from>
      <xdr:col>0</xdr:col>
      <xdr:colOff>0</xdr:colOff>
      <xdr:row>39</xdr:row>
      <xdr:rowOff>0</xdr:rowOff>
    </xdr:from>
    <xdr:to>
      <xdr:col>0</xdr:col>
      <xdr:colOff>2505075</xdr:colOff>
      <xdr:row>41</xdr:row>
      <xdr:rowOff>66675</xdr:rowOff>
    </xdr:to>
    <xdr:pic>
      <xdr:nvPicPr>
        <xdr:cNvPr id="3" name="Picture 4" descr="Click to view the MathML source">
          <a:hlinkClick r:id="rId7"/>
        </xdr:cNvPr>
        <xdr:cNvPicPr preferRelativeResize="1">
          <a:picLocks noChangeAspect="1"/>
        </xdr:cNvPicPr>
      </xdr:nvPicPr>
      <xdr:blipFill>
        <a:blip r:embed="rId5"/>
        <a:stretch>
          <a:fillRect/>
        </a:stretch>
      </xdr:blipFill>
      <xdr:spPr>
        <a:xfrm>
          <a:off x="0" y="7286625"/>
          <a:ext cx="2505075" cy="390525"/>
        </a:xfrm>
        <a:prstGeom prst="rect">
          <a:avLst/>
        </a:prstGeom>
        <a:noFill/>
        <a:ln w="9525" cmpd="sng">
          <a:noFill/>
        </a:ln>
      </xdr:spPr>
    </xdr:pic>
    <xdr:clientData/>
  </xdr:twoCellAnchor>
  <xdr:twoCellAnchor editAs="oneCell">
    <xdr:from>
      <xdr:col>0</xdr:col>
      <xdr:colOff>0</xdr:colOff>
      <xdr:row>45</xdr:row>
      <xdr:rowOff>0</xdr:rowOff>
    </xdr:from>
    <xdr:to>
      <xdr:col>0</xdr:col>
      <xdr:colOff>171450</xdr:colOff>
      <xdr:row>45</xdr:row>
      <xdr:rowOff>9525</xdr:rowOff>
    </xdr:to>
    <xdr:pic>
      <xdr:nvPicPr>
        <xdr:cNvPr id="4" name="Picture 5" descr="single bond"/>
        <xdr:cNvPicPr preferRelativeResize="1">
          <a:picLocks noChangeAspect="1"/>
        </xdr:cNvPicPr>
      </xdr:nvPicPr>
      <xdr:blipFill>
        <a:blip r:embed="rId8"/>
        <a:stretch>
          <a:fillRect/>
        </a:stretch>
      </xdr:blipFill>
      <xdr:spPr>
        <a:xfrm>
          <a:off x="0" y="8353425"/>
          <a:ext cx="171450" cy="9525"/>
        </a:xfrm>
        <a:prstGeom prst="rect">
          <a:avLst/>
        </a:prstGeom>
        <a:noFill/>
        <a:ln w="9525" cmpd="sng">
          <a:noFill/>
        </a:ln>
      </xdr:spPr>
    </xdr:pic>
    <xdr:clientData/>
  </xdr:twoCellAnchor>
  <xdr:twoCellAnchor editAs="oneCell">
    <xdr:from>
      <xdr:col>0</xdr:col>
      <xdr:colOff>180975</xdr:colOff>
      <xdr:row>45</xdr:row>
      <xdr:rowOff>0</xdr:rowOff>
    </xdr:from>
    <xdr:to>
      <xdr:col>0</xdr:col>
      <xdr:colOff>352425</xdr:colOff>
      <xdr:row>45</xdr:row>
      <xdr:rowOff>9525</xdr:rowOff>
    </xdr:to>
    <xdr:pic>
      <xdr:nvPicPr>
        <xdr:cNvPr id="5" name="Picture 6" descr="single bond"/>
        <xdr:cNvPicPr preferRelativeResize="1">
          <a:picLocks noChangeAspect="1"/>
        </xdr:cNvPicPr>
      </xdr:nvPicPr>
      <xdr:blipFill>
        <a:blip r:embed="rId8"/>
        <a:stretch>
          <a:fillRect/>
        </a:stretch>
      </xdr:blipFill>
      <xdr:spPr>
        <a:xfrm>
          <a:off x="180975" y="8353425"/>
          <a:ext cx="171450" cy="9525"/>
        </a:xfrm>
        <a:prstGeom prst="rect">
          <a:avLst/>
        </a:prstGeom>
        <a:noFill/>
        <a:ln w="9525" cmpd="sng">
          <a:noFill/>
        </a:ln>
      </xdr:spPr>
    </xdr:pic>
    <xdr:clientData/>
  </xdr:twoCellAnchor>
  <xdr:twoCellAnchor editAs="oneCell">
    <xdr:from>
      <xdr:col>0</xdr:col>
      <xdr:colOff>361950</xdr:colOff>
      <xdr:row>45</xdr:row>
      <xdr:rowOff>0</xdr:rowOff>
    </xdr:from>
    <xdr:to>
      <xdr:col>0</xdr:col>
      <xdr:colOff>533400</xdr:colOff>
      <xdr:row>45</xdr:row>
      <xdr:rowOff>9525</xdr:rowOff>
    </xdr:to>
    <xdr:pic>
      <xdr:nvPicPr>
        <xdr:cNvPr id="6" name="Picture 7" descr="single bond"/>
        <xdr:cNvPicPr preferRelativeResize="1">
          <a:picLocks noChangeAspect="1"/>
        </xdr:cNvPicPr>
      </xdr:nvPicPr>
      <xdr:blipFill>
        <a:blip r:embed="rId8"/>
        <a:stretch>
          <a:fillRect/>
        </a:stretch>
      </xdr:blipFill>
      <xdr:spPr>
        <a:xfrm>
          <a:off x="361950" y="8353425"/>
          <a:ext cx="171450" cy="9525"/>
        </a:xfrm>
        <a:prstGeom prst="rect">
          <a:avLst/>
        </a:prstGeom>
        <a:noFill/>
        <a:ln w="9525" cmpd="sng">
          <a:noFill/>
        </a:ln>
      </xdr:spPr>
    </xdr:pic>
    <xdr:clientData/>
  </xdr:twoCellAnchor>
  <xdr:twoCellAnchor editAs="oneCell">
    <xdr:from>
      <xdr:col>0</xdr:col>
      <xdr:colOff>0</xdr:colOff>
      <xdr:row>46</xdr:row>
      <xdr:rowOff>0</xdr:rowOff>
    </xdr:from>
    <xdr:to>
      <xdr:col>0</xdr:col>
      <xdr:colOff>171450</xdr:colOff>
      <xdr:row>46</xdr:row>
      <xdr:rowOff>9525</xdr:rowOff>
    </xdr:to>
    <xdr:pic>
      <xdr:nvPicPr>
        <xdr:cNvPr id="7" name="Picture 8" descr="single bond"/>
        <xdr:cNvPicPr preferRelativeResize="1">
          <a:picLocks noChangeAspect="1"/>
        </xdr:cNvPicPr>
      </xdr:nvPicPr>
      <xdr:blipFill>
        <a:blip r:embed="rId8"/>
        <a:stretch>
          <a:fillRect/>
        </a:stretch>
      </xdr:blipFill>
      <xdr:spPr>
        <a:xfrm>
          <a:off x="0" y="8515350"/>
          <a:ext cx="171450" cy="9525"/>
        </a:xfrm>
        <a:prstGeom prst="rect">
          <a:avLst/>
        </a:prstGeom>
        <a:noFill/>
        <a:ln w="9525" cmpd="sng">
          <a:noFill/>
        </a:ln>
      </xdr:spPr>
    </xdr:pic>
    <xdr:clientData/>
  </xdr:twoCellAnchor>
  <xdr:twoCellAnchor editAs="oneCell">
    <xdr:from>
      <xdr:col>0</xdr:col>
      <xdr:colOff>180975</xdr:colOff>
      <xdr:row>46</xdr:row>
      <xdr:rowOff>0</xdr:rowOff>
    </xdr:from>
    <xdr:to>
      <xdr:col>0</xdr:col>
      <xdr:colOff>352425</xdr:colOff>
      <xdr:row>46</xdr:row>
      <xdr:rowOff>9525</xdr:rowOff>
    </xdr:to>
    <xdr:pic>
      <xdr:nvPicPr>
        <xdr:cNvPr id="8" name="Picture 9" descr="single bond"/>
        <xdr:cNvPicPr preferRelativeResize="1">
          <a:picLocks noChangeAspect="1"/>
        </xdr:cNvPicPr>
      </xdr:nvPicPr>
      <xdr:blipFill>
        <a:blip r:embed="rId8"/>
        <a:stretch>
          <a:fillRect/>
        </a:stretch>
      </xdr:blipFill>
      <xdr:spPr>
        <a:xfrm>
          <a:off x="180975" y="8515350"/>
          <a:ext cx="171450" cy="9525"/>
        </a:xfrm>
        <a:prstGeom prst="rect">
          <a:avLst/>
        </a:prstGeom>
        <a:noFill/>
        <a:ln w="9525" cmpd="sng">
          <a:noFill/>
        </a:ln>
      </xdr:spPr>
    </xdr:pic>
    <xdr:clientData/>
  </xdr:twoCellAnchor>
  <xdr:twoCellAnchor editAs="oneCell">
    <xdr:from>
      <xdr:col>0</xdr:col>
      <xdr:colOff>361950</xdr:colOff>
      <xdr:row>46</xdr:row>
      <xdr:rowOff>0</xdr:rowOff>
    </xdr:from>
    <xdr:to>
      <xdr:col>0</xdr:col>
      <xdr:colOff>533400</xdr:colOff>
      <xdr:row>46</xdr:row>
      <xdr:rowOff>9525</xdr:rowOff>
    </xdr:to>
    <xdr:pic>
      <xdr:nvPicPr>
        <xdr:cNvPr id="9" name="Picture 10" descr="single bond"/>
        <xdr:cNvPicPr preferRelativeResize="1">
          <a:picLocks noChangeAspect="1"/>
        </xdr:cNvPicPr>
      </xdr:nvPicPr>
      <xdr:blipFill>
        <a:blip r:embed="rId8"/>
        <a:stretch>
          <a:fillRect/>
        </a:stretch>
      </xdr:blipFill>
      <xdr:spPr>
        <a:xfrm>
          <a:off x="361950" y="8515350"/>
          <a:ext cx="171450" cy="9525"/>
        </a:xfrm>
        <a:prstGeom prst="rect">
          <a:avLst/>
        </a:prstGeom>
        <a:noFill/>
        <a:ln w="9525" cmpd="sng">
          <a:noFill/>
        </a:ln>
      </xdr:spPr>
    </xdr:pic>
    <xdr:clientData/>
  </xdr:twoCellAnchor>
  <xdr:twoCellAnchor editAs="oneCell">
    <xdr:from>
      <xdr:col>0</xdr:col>
      <xdr:colOff>0</xdr:colOff>
      <xdr:row>47</xdr:row>
      <xdr:rowOff>0</xdr:rowOff>
    </xdr:from>
    <xdr:to>
      <xdr:col>0</xdr:col>
      <xdr:colOff>171450</xdr:colOff>
      <xdr:row>47</xdr:row>
      <xdr:rowOff>9525</xdr:rowOff>
    </xdr:to>
    <xdr:pic>
      <xdr:nvPicPr>
        <xdr:cNvPr id="10" name="Picture 11" descr="single bond"/>
        <xdr:cNvPicPr preferRelativeResize="1">
          <a:picLocks noChangeAspect="1"/>
        </xdr:cNvPicPr>
      </xdr:nvPicPr>
      <xdr:blipFill>
        <a:blip r:embed="rId8"/>
        <a:stretch>
          <a:fillRect/>
        </a:stretch>
      </xdr:blipFill>
      <xdr:spPr>
        <a:xfrm>
          <a:off x="0" y="8677275"/>
          <a:ext cx="171450" cy="9525"/>
        </a:xfrm>
        <a:prstGeom prst="rect">
          <a:avLst/>
        </a:prstGeom>
        <a:noFill/>
        <a:ln w="9525" cmpd="sng">
          <a:noFill/>
        </a:ln>
      </xdr:spPr>
    </xdr:pic>
    <xdr:clientData/>
  </xdr:twoCellAnchor>
  <xdr:twoCellAnchor editAs="oneCell">
    <xdr:from>
      <xdr:col>0</xdr:col>
      <xdr:colOff>180975</xdr:colOff>
      <xdr:row>47</xdr:row>
      <xdr:rowOff>0</xdr:rowOff>
    </xdr:from>
    <xdr:to>
      <xdr:col>0</xdr:col>
      <xdr:colOff>352425</xdr:colOff>
      <xdr:row>47</xdr:row>
      <xdr:rowOff>9525</xdr:rowOff>
    </xdr:to>
    <xdr:pic>
      <xdr:nvPicPr>
        <xdr:cNvPr id="11" name="Picture 12" descr="single bond"/>
        <xdr:cNvPicPr preferRelativeResize="1">
          <a:picLocks noChangeAspect="1"/>
        </xdr:cNvPicPr>
      </xdr:nvPicPr>
      <xdr:blipFill>
        <a:blip r:embed="rId8"/>
        <a:stretch>
          <a:fillRect/>
        </a:stretch>
      </xdr:blipFill>
      <xdr:spPr>
        <a:xfrm>
          <a:off x="180975" y="8677275"/>
          <a:ext cx="171450" cy="9525"/>
        </a:xfrm>
        <a:prstGeom prst="rect">
          <a:avLst/>
        </a:prstGeom>
        <a:noFill/>
        <a:ln w="9525" cmpd="sng">
          <a:noFill/>
        </a:ln>
      </xdr:spPr>
    </xdr:pic>
    <xdr:clientData/>
  </xdr:twoCellAnchor>
  <xdr:twoCellAnchor editAs="oneCell">
    <xdr:from>
      <xdr:col>0</xdr:col>
      <xdr:colOff>361950</xdr:colOff>
      <xdr:row>47</xdr:row>
      <xdr:rowOff>0</xdr:rowOff>
    </xdr:from>
    <xdr:to>
      <xdr:col>0</xdr:col>
      <xdr:colOff>533400</xdr:colOff>
      <xdr:row>47</xdr:row>
      <xdr:rowOff>9525</xdr:rowOff>
    </xdr:to>
    <xdr:pic>
      <xdr:nvPicPr>
        <xdr:cNvPr id="12" name="Picture 13" descr="single bond"/>
        <xdr:cNvPicPr preferRelativeResize="1">
          <a:picLocks noChangeAspect="1"/>
        </xdr:cNvPicPr>
      </xdr:nvPicPr>
      <xdr:blipFill>
        <a:blip r:embed="rId8"/>
        <a:stretch>
          <a:fillRect/>
        </a:stretch>
      </xdr:blipFill>
      <xdr:spPr>
        <a:xfrm>
          <a:off x="361950" y="8677275"/>
          <a:ext cx="171450" cy="9525"/>
        </a:xfrm>
        <a:prstGeom prst="rect">
          <a:avLst/>
        </a:prstGeom>
        <a:noFill/>
        <a:ln w="9525" cmpd="sng">
          <a:noFill/>
        </a:ln>
      </xdr:spPr>
    </xdr:pic>
    <xdr:clientData/>
  </xdr:twoCellAnchor>
  <xdr:twoCellAnchor editAs="oneCell">
    <xdr:from>
      <xdr:col>0</xdr:col>
      <xdr:colOff>0</xdr:colOff>
      <xdr:row>48</xdr:row>
      <xdr:rowOff>0</xdr:rowOff>
    </xdr:from>
    <xdr:to>
      <xdr:col>0</xdr:col>
      <xdr:colOff>171450</xdr:colOff>
      <xdr:row>48</xdr:row>
      <xdr:rowOff>9525</xdr:rowOff>
    </xdr:to>
    <xdr:pic>
      <xdr:nvPicPr>
        <xdr:cNvPr id="13" name="Picture 14" descr="single bond"/>
        <xdr:cNvPicPr preferRelativeResize="1">
          <a:picLocks noChangeAspect="1"/>
        </xdr:cNvPicPr>
      </xdr:nvPicPr>
      <xdr:blipFill>
        <a:blip r:embed="rId8"/>
        <a:stretch>
          <a:fillRect/>
        </a:stretch>
      </xdr:blipFill>
      <xdr:spPr>
        <a:xfrm>
          <a:off x="0" y="8839200"/>
          <a:ext cx="171450" cy="9525"/>
        </a:xfrm>
        <a:prstGeom prst="rect">
          <a:avLst/>
        </a:prstGeom>
        <a:noFill/>
        <a:ln w="9525" cmpd="sng">
          <a:noFill/>
        </a:ln>
      </xdr:spPr>
    </xdr:pic>
    <xdr:clientData/>
  </xdr:twoCellAnchor>
  <xdr:twoCellAnchor editAs="oneCell">
    <xdr:from>
      <xdr:col>0</xdr:col>
      <xdr:colOff>180975</xdr:colOff>
      <xdr:row>48</xdr:row>
      <xdr:rowOff>0</xdr:rowOff>
    </xdr:from>
    <xdr:to>
      <xdr:col>0</xdr:col>
      <xdr:colOff>352425</xdr:colOff>
      <xdr:row>48</xdr:row>
      <xdr:rowOff>9525</xdr:rowOff>
    </xdr:to>
    <xdr:pic>
      <xdr:nvPicPr>
        <xdr:cNvPr id="14" name="Picture 15" descr="single bond"/>
        <xdr:cNvPicPr preferRelativeResize="1">
          <a:picLocks noChangeAspect="1"/>
        </xdr:cNvPicPr>
      </xdr:nvPicPr>
      <xdr:blipFill>
        <a:blip r:embed="rId8"/>
        <a:stretch>
          <a:fillRect/>
        </a:stretch>
      </xdr:blipFill>
      <xdr:spPr>
        <a:xfrm>
          <a:off x="180975" y="8839200"/>
          <a:ext cx="171450" cy="9525"/>
        </a:xfrm>
        <a:prstGeom prst="rect">
          <a:avLst/>
        </a:prstGeom>
        <a:noFill/>
        <a:ln w="9525" cmpd="sng">
          <a:noFill/>
        </a:ln>
      </xdr:spPr>
    </xdr:pic>
    <xdr:clientData/>
  </xdr:twoCellAnchor>
  <xdr:twoCellAnchor editAs="oneCell">
    <xdr:from>
      <xdr:col>0</xdr:col>
      <xdr:colOff>361950</xdr:colOff>
      <xdr:row>48</xdr:row>
      <xdr:rowOff>0</xdr:rowOff>
    </xdr:from>
    <xdr:to>
      <xdr:col>0</xdr:col>
      <xdr:colOff>533400</xdr:colOff>
      <xdr:row>48</xdr:row>
      <xdr:rowOff>9525</xdr:rowOff>
    </xdr:to>
    <xdr:pic>
      <xdr:nvPicPr>
        <xdr:cNvPr id="15" name="Picture 16" descr="single bond"/>
        <xdr:cNvPicPr preferRelativeResize="1">
          <a:picLocks noChangeAspect="1"/>
        </xdr:cNvPicPr>
      </xdr:nvPicPr>
      <xdr:blipFill>
        <a:blip r:embed="rId8"/>
        <a:stretch>
          <a:fillRect/>
        </a:stretch>
      </xdr:blipFill>
      <xdr:spPr>
        <a:xfrm>
          <a:off x="361950" y="8839200"/>
          <a:ext cx="171450" cy="9525"/>
        </a:xfrm>
        <a:prstGeom prst="rect">
          <a:avLst/>
        </a:prstGeom>
        <a:noFill/>
        <a:ln w="9525" cmpd="sng">
          <a:noFill/>
        </a:ln>
      </xdr:spPr>
    </xdr:pic>
    <xdr:clientData/>
  </xdr:twoCellAnchor>
  <xdr:twoCellAnchor editAs="oneCell">
    <xdr:from>
      <xdr:col>0</xdr:col>
      <xdr:colOff>0</xdr:colOff>
      <xdr:row>49</xdr:row>
      <xdr:rowOff>0</xdr:rowOff>
    </xdr:from>
    <xdr:to>
      <xdr:col>0</xdr:col>
      <xdr:colOff>171450</xdr:colOff>
      <xdr:row>49</xdr:row>
      <xdr:rowOff>9525</xdr:rowOff>
    </xdr:to>
    <xdr:pic>
      <xdr:nvPicPr>
        <xdr:cNvPr id="16" name="Picture 17" descr="single bond"/>
        <xdr:cNvPicPr preferRelativeResize="1">
          <a:picLocks noChangeAspect="1"/>
        </xdr:cNvPicPr>
      </xdr:nvPicPr>
      <xdr:blipFill>
        <a:blip r:embed="rId8"/>
        <a:stretch>
          <a:fillRect/>
        </a:stretch>
      </xdr:blipFill>
      <xdr:spPr>
        <a:xfrm>
          <a:off x="0" y="9001125"/>
          <a:ext cx="171450" cy="9525"/>
        </a:xfrm>
        <a:prstGeom prst="rect">
          <a:avLst/>
        </a:prstGeom>
        <a:noFill/>
        <a:ln w="9525" cmpd="sng">
          <a:noFill/>
        </a:ln>
      </xdr:spPr>
    </xdr:pic>
    <xdr:clientData/>
  </xdr:twoCellAnchor>
  <xdr:twoCellAnchor editAs="oneCell">
    <xdr:from>
      <xdr:col>0</xdr:col>
      <xdr:colOff>180975</xdr:colOff>
      <xdr:row>49</xdr:row>
      <xdr:rowOff>0</xdr:rowOff>
    </xdr:from>
    <xdr:to>
      <xdr:col>0</xdr:col>
      <xdr:colOff>352425</xdr:colOff>
      <xdr:row>49</xdr:row>
      <xdr:rowOff>9525</xdr:rowOff>
    </xdr:to>
    <xdr:pic>
      <xdr:nvPicPr>
        <xdr:cNvPr id="17" name="Picture 18" descr="single bond"/>
        <xdr:cNvPicPr preferRelativeResize="1">
          <a:picLocks noChangeAspect="1"/>
        </xdr:cNvPicPr>
      </xdr:nvPicPr>
      <xdr:blipFill>
        <a:blip r:embed="rId8"/>
        <a:stretch>
          <a:fillRect/>
        </a:stretch>
      </xdr:blipFill>
      <xdr:spPr>
        <a:xfrm>
          <a:off x="180975" y="9001125"/>
          <a:ext cx="171450" cy="9525"/>
        </a:xfrm>
        <a:prstGeom prst="rect">
          <a:avLst/>
        </a:prstGeom>
        <a:noFill/>
        <a:ln w="9525" cmpd="sng">
          <a:noFill/>
        </a:ln>
      </xdr:spPr>
    </xdr:pic>
    <xdr:clientData/>
  </xdr:twoCellAnchor>
  <xdr:twoCellAnchor editAs="oneCell">
    <xdr:from>
      <xdr:col>0</xdr:col>
      <xdr:colOff>361950</xdr:colOff>
      <xdr:row>49</xdr:row>
      <xdr:rowOff>0</xdr:rowOff>
    </xdr:from>
    <xdr:to>
      <xdr:col>0</xdr:col>
      <xdr:colOff>533400</xdr:colOff>
      <xdr:row>49</xdr:row>
      <xdr:rowOff>9525</xdr:rowOff>
    </xdr:to>
    <xdr:pic>
      <xdr:nvPicPr>
        <xdr:cNvPr id="18" name="Picture 19" descr="single bond"/>
        <xdr:cNvPicPr preferRelativeResize="1">
          <a:picLocks noChangeAspect="1"/>
        </xdr:cNvPicPr>
      </xdr:nvPicPr>
      <xdr:blipFill>
        <a:blip r:embed="rId8"/>
        <a:stretch>
          <a:fillRect/>
        </a:stretch>
      </xdr:blipFill>
      <xdr:spPr>
        <a:xfrm>
          <a:off x="361950" y="9001125"/>
          <a:ext cx="171450" cy="9525"/>
        </a:xfrm>
        <a:prstGeom prst="rect">
          <a:avLst/>
        </a:prstGeom>
        <a:noFill/>
        <a:ln w="9525" cmpd="sng">
          <a:noFill/>
        </a:ln>
      </xdr:spPr>
    </xdr:pic>
    <xdr:clientData/>
  </xdr:twoCellAnchor>
  <xdr:twoCellAnchor editAs="oneCell">
    <xdr:from>
      <xdr:col>0</xdr:col>
      <xdr:colOff>0</xdr:colOff>
      <xdr:row>50</xdr:row>
      <xdr:rowOff>0</xdr:rowOff>
    </xdr:from>
    <xdr:to>
      <xdr:col>0</xdr:col>
      <xdr:colOff>171450</xdr:colOff>
      <xdr:row>50</xdr:row>
      <xdr:rowOff>9525</xdr:rowOff>
    </xdr:to>
    <xdr:pic>
      <xdr:nvPicPr>
        <xdr:cNvPr id="19" name="Picture 20" descr="single bond"/>
        <xdr:cNvPicPr preferRelativeResize="1">
          <a:picLocks noChangeAspect="1"/>
        </xdr:cNvPicPr>
      </xdr:nvPicPr>
      <xdr:blipFill>
        <a:blip r:embed="rId8"/>
        <a:stretch>
          <a:fillRect/>
        </a:stretch>
      </xdr:blipFill>
      <xdr:spPr>
        <a:xfrm>
          <a:off x="0" y="9163050"/>
          <a:ext cx="171450" cy="9525"/>
        </a:xfrm>
        <a:prstGeom prst="rect">
          <a:avLst/>
        </a:prstGeom>
        <a:noFill/>
        <a:ln w="9525" cmpd="sng">
          <a:noFill/>
        </a:ln>
      </xdr:spPr>
    </xdr:pic>
    <xdr:clientData/>
  </xdr:twoCellAnchor>
  <xdr:twoCellAnchor editAs="oneCell">
    <xdr:from>
      <xdr:col>0</xdr:col>
      <xdr:colOff>180975</xdr:colOff>
      <xdr:row>50</xdr:row>
      <xdr:rowOff>0</xdr:rowOff>
    </xdr:from>
    <xdr:to>
      <xdr:col>0</xdr:col>
      <xdr:colOff>352425</xdr:colOff>
      <xdr:row>50</xdr:row>
      <xdr:rowOff>9525</xdr:rowOff>
    </xdr:to>
    <xdr:pic>
      <xdr:nvPicPr>
        <xdr:cNvPr id="20" name="Picture 21" descr="single bond"/>
        <xdr:cNvPicPr preferRelativeResize="1">
          <a:picLocks noChangeAspect="1"/>
        </xdr:cNvPicPr>
      </xdr:nvPicPr>
      <xdr:blipFill>
        <a:blip r:embed="rId8"/>
        <a:stretch>
          <a:fillRect/>
        </a:stretch>
      </xdr:blipFill>
      <xdr:spPr>
        <a:xfrm>
          <a:off x="180975" y="9163050"/>
          <a:ext cx="171450" cy="9525"/>
        </a:xfrm>
        <a:prstGeom prst="rect">
          <a:avLst/>
        </a:prstGeom>
        <a:noFill/>
        <a:ln w="9525" cmpd="sng">
          <a:noFill/>
        </a:ln>
      </xdr:spPr>
    </xdr:pic>
    <xdr:clientData/>
  </xdr:twoCellAnchor>
  <xdr:twoCellAnchor editAs="oneCell">
    <xdr:from>
      <xdr:col>0</xdr:col>
      <xdr:colOff>361950</xdr:colOff>
      <xdr:row>50</xdr:row>
      <xdr:rowOff>0</xdr:rowOff>
    </xdr:from>
    <xdr:to>
      <xdr:col>0</xdr:col>
      <xdr:colOff>533400</xdr:colOff>
      <xdr:row>50</xdr:row>
      <xdr:rowOff>9525</xdr:rowOff>
    </xdr:to>
    <xdr:pic>
      <xdr:nvPicPr>
        <xdr:cNvPr id="21" name="Picture 22" descr="single bond"/>
        <xdr:cNvPicPr preferRelativeResize="1">
          <a:picLocks noChangeAspect="1"/>
        </xdr:cNvPicPr>
      </xdr:nvPicPr>
      <xdr:blipFill>
        <a:blip r:embed="rId8"/>
        <a:stretch>
          <a:fillRect/>
        </a:stretch>
      </xdr:blipFill>
      <xdr:spPr>
        <a:xfrm>
          <a:off x="361950" y="9163050"/>
          <a:ext cx="171450" cy="9525"/>
        </a:xfrm>
        <a:prstGeom prst="rect">
          <a:avLst/>
        </a:prstGeom>
        <a:noFill/>
        <a:ln w="9525" cmpd="sng">
          <a:noFill/>
        </a:ln>
      </xdr:spPr>
    </xdr:pic>
    <xdr:clientData/>
  </xdr:twoCellAnchor>
  <xdr:twoCellAnchor editAs="oneCell">
    <xdr:from>
      <xdr:col>0</xdr:col>
      <xdr:colOff>0</xdr:colOff>
      <xdr:row>51</xdr:row>
      <xdr:rowOff>0</xdr:rowOff>
    </xdr:from>
    <xdr:to>
      <xdr:col>0</xdr:col>
      <xdr:colOff>171450</xdr:colOff>
      <xdr:row>51</xdr:row>
      <xdr:rowOff>9525</xdr:rowOff>
    </xdr:to>
    <xdr:pic>
      <xdr:nvPicPr>
        <xdr:cNvPr id="22" name="Picture 23" descr="single bond"/>
        <xdr:cNvPicPr preferRelativeResize="1">
          <a:picLocks noChangeAspect="1"/>
        </xdr:cNvPicPr>
      </xdr:nvPicPr>
      <xdr:blipFill>
        <a:blip r:embed="rId8"/>
        <a:stretch>
          <a:fillRect/>
        </a:stretch>
      </xdr:blipFill>
      <xdr:spPr>
        <a:xfrm>
          <a:off x="0" y="9324975"/>
          <a:ext cx="171450" cy="9525"/>
        </a:xfrm>
        <a:prstGeom prst="rect">
          <a:avLst/>
        </a:prstGeom>
        <a:noFill/>
        <a:ln w="9525" cmpd="sng">
          <a:noFill/>
        </a:ln>
      </xdr:spPr>
    </xdr:pic>
    <xdr:clientData/>
  </xdr:twoCellAnchor>
  <xdr:twoCellAnchor editAs="oneCell">
    <xdr:from>
      <xdr:col>0</xdr:col>
      <xdr:colOff>180975</xdr:colOff>
      <xdr:row>51</xdr:row>
      <xdr:rowOff>0</xdr:rowOff>
    </xdr:from>
    <xdr:to>
      <xdr:col>0</xdr:col>
      <xdr:colOff>352425</xdr:colOff>
      <xdr:row>51</xdr:row>
      <xdr:rowOff>9525</xdr:rowOff>
    </xdr:to>
    <xdr:pic>
      <xdr:nvPicPr>
        <xdr:cNvPr id="23" name="Picture 24" descr="single bond"/>
        <xdr:cNvPicPr preferRelativeResize="1">
          <a:picLocks noChangeAspect="1"/>
        </xdr:cNvPicPr>
      </xdr:nvPicPr>
      <xdr:blipFill>
        <a:blip r:embed="rId8"/>
        <a:stretch>
          <a:fillRect/>
        </a:stretch>
      </xdr:blipFill>
      <xdr:spPr>
        <a:xfrm>
          <a:off x="180975" y="9324975"/>
          <a:ext cx="171450" cy="9525"/>
        </a:xfrm>
        <a:prstGeom prst="rect">
          <a:avLst/>
        </a:prstGeom>
        <a:noFill/>
        <a:ln w="9525" cmpd="sng">
          <a:noFill/>
        </a:ln>
      </xdr:spPr>
    </xdr:pic>
    <xdr:clientData/>
  </xdr:twoCellAnchor>
  <xdr:twoCellAnchor editAs="oneCell">
    <xdr:from>
      <xdr:col>0</xdr:col>
      <xdr:colOff>361950</xdr:colOff>
      <xdr:row>51</xdr:row>
      <xdr:rowOff>0</xdr:rowOff>
    </xdr:from>
    <xdr:to>
      <xdr:col>0</xdr:col>
      <xdr:colOff>533400</xdr:colOff>
      <xdr:row>51</xdr:row>
      <xdr:rowOff>9525</xdr:rowOff>
    </xdr:to>
    <xdr:pic>
      <xdr:nvPicPr>
        <xdr:cNvPr id="24" name="Picture 25" descr="single bond"/>
        <xdr:cNvPicPr preferRelativeResize="1">
          <a:picLocks noChangeAspect="1"/>
        </xdr:cNvPicPr>
      </xdr:nvPicPr>
      <xdr:blipFill>
        <a:blip r:embed="rId8"/>
        <a:stretch>
          <a:fillRect/>
        </a:stretch>
      </xdr:blipFill>
      <xdr:spPr>
        <a:xfrm>
          <a:off x="361950" y="9324975"/>
          <a:ext cx="171450" cy="9525"/>
        </a:xfrm>
        <a:prstGeom prst="rect">
          <a:avLst/>
        </a:prstGeom>
        <a:noFill/>
        <a:ln w="9525" cmpd="sng">
          <a:noFill/>
        </a:ln>
      </xdr:spPr>
    </xdr:pic>
    <xdr:clientData/>
  </xdr:twoCellAnchor>
  <xdr:twoCellAnchor editAs="oneCell">
    <xdr:from>
      <xdr:col>0</xdr:col>
      <xdr:colOff>0</xdr:colOff>
      <xdr:row>54</xdr:row>
      <xdr:rowOff>0</xdr:rowOff>
    </xdr:from>
    <xdr:to>
      <xdr:col>0</xdr:col>
      <xdr:colOff>171450</xdr:colOff>
      <xdr:row>54</xdr:row>
      <xdr:rowOff>9525</xdr:rowOff>
    </xdr:to>
    <xdr:pic>
      <xdr:nvPicPr>
        <xdr:cNvPr id="25" name="Picture 26" descr="single bond"/>
        <xdr:cNvPicPr preferRelativeResize="1">
          <a:picLocks noChangeAspect="1"/>
        </xdr:cNvPicPr>
      </xdr:nvPicPr>
      <xdr:blipFill>
        <a:blip r:embed="rId8"/>
        <a:stretch>
          <a:fillRect/>
        </a:stretch>
      </xdr:blipFill>
      <xdr:spPr>
        <a:xfrm>
          <a:off x="0" y="9810750"/>
          <a:ext cx="171450" cy="9525"/>
        </a:xfrm>
        <a:prstGeom prst="rect">
          <a:avLst/>
        </a:prstGeom>
        <a:noFill/>
        <a:ln w="9525" cmpd="sng">
          <a:noFill/>
        </a:ln>
      </xdr:spPr>
    </xdr:pic>
    <xdr:clientData/>
  </xdr:twoCellAnchor>
  <xdr:twoCellAnchor editAs="oneCell">
    <xdr:from>
      <xdr:col>0</xdr:col>
      <xdr:colOff>0</xdr:colOff>
      <xdr:row>54</xdr:row>
      <xdr:rowOff>0</xdr:rowOff>
    </xdr:from>
    <xdr:to>
      <xdr:col>0</xdr:col>
      <xdr:colOff>171450</xdr:colOff>
      <xdr:row>54</xdr:row>
      <xdr:rowOff>9525</xdr:rowOff>
    </xdr:to>
    <xdr:pic>
      <xdr:nvPicPr>
        <xdr:cNvPr id="26" name="Picture 27" descr="single bond"/>
        <xdr:cNvPicPr preferRelativeResize="1">
          <a:picLocks noChangeAspect="1"/>
        </xdr:cNvPicPr>
      </xdr:nvPicPr>
      <xdr:blipFill>
        <a:blip r:embed="rId8"/>
        <a:stretch>
          <a:fillRect/>
        </a:stretch>
      </xdr:blipFill>
      <xdr:spPr>
        <a:xfrm>
          <a:off x="0" y="9810750"/>
          <a:ext cx="171450" cy="9525"/>
        </a:xfrm>
        <a:prstGeom prst="rect">
          <a:avLst/>
        </a:prstGeom>
        <a:noFill/>
        <a:ln w="9525" cmpd="sng">
          <a:noFill/>
        </a:ln>
      </xdr:spPr>
    </xdr:pic>
    <xdr:clientData/>
  </xdr:twoCellAnchor>
  <xdr:twoCellAnchor editAs="oneCell">
    <xdr:from>
      <xdr:col>0</xdr:col>
      <xdr:colOff>0</xdr:colOff>
      <xdr:row>54</xdr:row>
      <xdr:rowOff>0</xdr:rowOff>
    </xdr:from>
    <xdr:to>
      <xdr:col>0</xdr:col>
      <xdr:colOff>171450</xdr:colOff>
      <xdr:row>54</xdr:row>
      <xdr:rowOff>9525</xdr:rowOff>
    </xdr:to>
    <xdr:pic>
      <xdr:nvPicPr>
        <xdr:cNvPr id="27" name="Picture 28" descr="single bond"/>
        <xdr:cNvPicPr preferRelativeResize="1">
          <a:picLocks noChangeAspect="1"/>
        </xdr:cNvPicPr>
      </xdr:nvPicPr>
      <xdr:blipFill>
        <a:blip r:embed="rId8"/>
        <a:stretch>
          <a:fillRect/>
        </a:stretch>
      </xdr:blipFill>
      <xdr:spPr>
        <a:xfrm>
          <a:off x="0" y="9810750"/>
          <a:ext cx="171450" cy="9525"/>
        </a:xfrm>
        <a:prstGeom prst="rect">
          <a:avLst/>
        </a:prstGeom>
        <a:noFill/>
        <a:ln w="9525" cmpd="sng">
          <a:noFill/>
        </a:ln>
      </xdr:spPr>
    </xdr:pic>
    <xdr:clientData/>
  </xdr:twoCellAnchor>
  <xdr:twoCellAnchor editAs="oneCell">
    <xdr:from>
      <xdr:col>0</xdr:col>
      <xdr:colOff>0</xdr:colOff>
      <xdr:row>54</xdr:row>
      <xdr:rowOff>0</xdr:rowOff>
    </xdr:from>
    <xdr:to>
      <xdr:col>0</xdr:col>
      <xdr:colOff>171450</xdr:colOff>
      <xdr:row>54</xdr:row>
      <xdr:rowOff>9525</xdr:rowOff>
    </xdr:to>
    <xdr:pic>
      <xdr:nvPicPr>
        <xdr:cNvPr id="28" name="Picture 29" descr="single bond"/>
        <xdr:cNvPicPr preferRelativeResize="1">
          <a:picLocks noChangeAspect="1"/>
        </xdr:cNvPicPr>
      </xdr:nvPicPr>
      <xdr:blipFill>
        <a:blip r:embed="rId8"/>
        <a:stretch>
          <a:fillRect/>
        </a:stretch>
      </xdr:blipFill>
      <xdr:spPr>
        <a:xfrm>
          <a:off x="0" y="9810750"/>
          <a:ext cx="171450" cy="9525"/>
        </a:xfrm>
        <a:prstGeom prst="rect">
          <a:avLst/>
        </a:prstGeom>
        <a:noFill/>
        <a:ln w="9525" cmpd="sng">
          <a:noFill/>
        </a:ln>
      </xdr:spPr>
    </xdr:pic>
    <xdr:clientData/>
  </xdr:twoCellAnchor>
  <xdr:twoCellAnchor>
    <xdr:from>
      <xdr:col>10</xdr:col>
      <xdr:colOff>161925</xdr:colOff>
      <xdr:row>140</xdr:row>
      <xdr:rowOff>66675</xdr:rowOff>
    </xdr:from>
    <xdr:to>
      <xdr:col>17</xdr:col>
      <xdr:colOff>571500</xdr:colOff>
      <xdr:row>157</xdr:row>
      <xdr:rowOff>57150</xdr:rowOff>
    </xdr:to>
    <xdr:graphicFrame>
      <xdr:nvGraphicFramePr>
        <xdr:cNvPr id="29" name="Chart 32"/>
        <xdr:cNvGraphicFramePr/>
      </xdr:nvGraphicFramePr>
      <xdr:xfrm>
        <a:off x="13420725" y="25098375"/>
        <a:ext cx="4676775" cy="2743200"/>
      </xdr:xfrm>
      <a:graphic>
        <a:graphicData uri="http://schemas.openxmlformats.org/drawingml/2006/chart">
          <c:chart xmlns:c="http://schemas.openxmlformats.org/drawingml/2006/chart" r:id="rId9"/>
        </a:graphicData>
      </a:graphic>
    </xdr:graphicFrame>
    <xdr:clientData/>
  </xdr:twoCellAnchor>
  <xdr:twoCellAnchor>
    <xdr:from>
      <xdr:col>11</xdr:col>
      <xdr:colOff>304800</xdr:colOff>
      <xdr:row>165</xdr:row>
      <xdr:rowOff>76200</xdr:rowOff>
    </xdr:from>
    <xdr:to>
      <xdr:col>19</xdr:col>
      <xdr:colOff>581025</xdr:colOff>
      <xdr:row>185</xdr:row>
      <xdr:rowOff>0</xdr:rowOff>
    </xdr:to>
    <xdr:graphicFrame>
      <xdr:nvGraphicFramePr>
        <xdr:cNvPr id="30" name="Chart 33"/>
        <xdr:cNvGraphicFramePr/>
      </xdr:nvGraphicFramePr>
      <xdr:xfrm>
        <a:off x="14173200" y="29156025"/>
        <a:ext cx="5153025" cy="3162300"/>
      </xdr:xfrm>
      <a:graphic>
        <a:graphicData uri="http://schemas.openxmlformats.org/drawingml/2006/chart">
          <c:chart xmlns:c="http://schemas.openxmlformats.org/drawingml/2006/chart" r:id="rId10"/>
        </a:graphicData>
      </a:graphic>
    </xdr:graphicFrame>
    <xdr:clientData/>
  </xdr:twoCellAnchor>
  <xdr:twoCellAnchor>
    <xdr:from>
      <xdr:col>5</xdr:col>
      <xdr:colOff>485775</xdr:colOff>
      <xdr:row>245</xdr:row>
      <xdr:rowOff>133350</xdr:rowOff>
    </xdr:from>
    <xdr:to>
      <xdr:col>14</xdr:col>
      <xdr:colOff>228600</xdr:colOff>
      <xdr:row>262</xdr:row>
      <xdr:rowOff>123825</xdr:rowOff>
    </xdr:to>
    <xdr:graphicFrame>
      <xdr:nvGraphicFramePr>
        <xdr:cNvPr id="31" name="Chart 34"/>
        <xdr:cNvGraphicFramePr/>
      </xdr:nvGraphicFramePr>
      <xdr:xfrm>
        <a:off x="10696575" y="42167175"/>
        <a:ext cx="5229225" cy="27432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66675</xdr:colOff>
      <xdr:row>5</xdr:row>
      <xdr:rowOff>66675</xdr:rowOff>
    </xdr:to>
    <xdr:pic>
      <xdr:nvPicPr>
        <xdr:cNvPr id="1" name="Picture 1"/>
        <xdr:cNvPicPr preferRelativeResize="1">
          <a:picLocks noChangeAspect="1"/>
        </xdr:cNvPicPr>
      </xdr:nvPicPr>
      <xdr:blipFill>
        <a:blip r:embed="rId1"/>
        <a:stretch>
          <a:fillRect/>
        </a:stretch>
      </xdr:blipFill>
      <xdr:spPr>
        <a:xfrm>
          <a:off x="609600" y="1476375"/>
          <a:ext cx="66675" cy="66675"/>
        </a:xfrm>
        <a:prstGeom prst="rect">
          <a:avLst/>
        </a:prstGeom>
        <a:noFill/>
        <a:ln w="9525" cmpd="sng">
          <a:noFill/>
        </a:ln>
      </xdr:spPr>
    </xdr:pic>
    <xdr:clientData/>
  </xdr:twoCellAnchor>
  <xdr:twoCellAnchor editAs="oneCell">
    <xdr:from>
      <xdr:col>2</xdr:col>
      <xdr:colOff>0</xdr:colOff>
      <xdr:row>5</xdr:row>
      <xdr:rowOff>0</xdr:rowOff>
    </xdr:from>
    <xdr:to>
      <xdr:col>2</xdr:col>
      <xdr:colOff>47625</xdr:colOff>
      <xdr:row>5</xdr:row>
      <xdr:rowOff>66675</xdr:rowOff>
    </xdr:to>
    <xdr:pic>
      <xdr:nvPicPr>
        <xdr:cNvPr id="2" name="Picture 2"/>
        <xdr:cNvPicPr preferRelativeResize="1">
          <a:picLocks noChangeAspect="1"/>
        </xdr:cNvPicPr>
      </xdr:nvPicPr>
      <xdr:blipFill>
        <a:blip r:embed="rId2"/>
        <a:stretch>
          <a:fillRect/>
        </a:stretch>
      </xdr:blipFill>
      <xdr:spPr>
        <a:xfrm>
          <a:off x="2847975" y="1476375"/>
          <a:ext cx="47625" cy="66675"/>
        </a:xfrm>
        <a:prstGeom prst="rect">
          <a:avLst/>
        </a:prstGeom>
        <a:noFill/>
        <a:ln w="9525" cmpd="sng">
          <a:noFill/>
        </a:ln>
      </xdr:spPr>
    </xdr:pic>
    <xdr:clientData/>
  </xdr:twoCellAnchor>
  <xdr:twoCellAnchor editAs="oneCell">
    <xdr:from>
      <xdr:col>0</xdr:col>
      <xdr:colOff>0</xdr:colOff>
      <xdr:row>62</xdr:row>
      <xdr:rowOff>0</xdr:rowOff>
    </xdr:from>
    <xdr:to>
      <xdr:col>4</xdr:col>
      <xdr:colOff>476250</xdr:colOff>
      <xdr:row>203</xdr:row>
      <xdr:rowOff>57150</xdr:rowOff>
    </xdr:to>
    <xdr:pic>
      <xdr:nvPicPr>
        <xdr:cNvPr id="3" name="Picture 3"/>
        <xdr:cNvPicPr preferRelativeResize="1">
          <a:picLocks noChangeAspect="1"/>
        </xdr:cNvPicPr>
      </xdr:nvPicPr>
      <xdr:blipFill>
        <a:blip r:embed="rId3"/>
        <a:stretch>
          <a:fillRect/>
        </a:stretch>
      </xdr:blipFill>
      <xdr:spPr>
        <a:xfrm>
          <a:off x="0" y="15506700"/>
          <a:ext cx="7572375" cy="22888575"/>
        </a:xfrm>
        <a:prstGeom prst="rect">
          <a:avLst/>
        </a:prstGeom>
        <a:noFill/>
        <a:ln w="9525" cmpd="sng">
          <a:noFill/>
        </a:ln>
      </xdr:spPr>
    </xdr:pic>
    <xdr:clientData/>
  </xdr:twoCellAnchor>
  <xdr:twoCellAnchor editAs="oneCell">
    <xdr:from>
      <xdr:col>0</xdr:col>
      <xdr:colOff>0</xdr:colOff>
      <xdr:row>205</xdr:row>
      <xdr:rowOff>0</xdr:rowOff>
    </xdr:from>
    <xdr:to>
      <xdr:col>23</xdr:col>
      <xdr:colOff>19050</xdr:colOff>
      <xdr:row>267</xdr:row>
      <xdr:rowOff>28575</xdr:rowOff>
    </xdr:to>
    <xdr:pic>
      <xdr:nvPicPr>
        <xdr:cNvPr id="4" name="Picture 4"/>
        <xdr:cNvPicPr preferRelativeResize="1">
          <a:picLocks noChangeAspect="1"/>
        </xdr:cNvPicPr>
      </xdr:nvPicPr>
      <xdr:blipFill>
        <a:blip r:embed="rId4"/>
        <a:stretch>
          <a:fillRect/>
        </a:stretch>
      </xdr:blipFill>
      <xdr:spPr>
        <a:xfrm>
          <a:off x="0" y="38661975"/>
          <a:ext cx="18697575" cy="10067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62</xdr:row>
      <xdr:rowOff>123825</xdr:rowOff>
    </xdr:from>
    <xdr:to>
      <xdr:col>8</xdr:col>
      <xdr:colOff>133350</xdr:colOff>
      <xdr:row>88</xdr:row>
      <xdr:rowOff>47625</xdr:rowOff>
    </xdr:to>
    <xdr:graphicFrame>
      <xdr:nvGraphicFramePr>
        <xdr:cNvPr id="1" name="Chart 1"/>
        <xdr:cNvGraphicFramePr/>
      </xdr:nvGraphicFramePr>
      <xdr:xfrm>
        <a:off x="590550" y="10163175"/>
        <a:ext cx="6315075" cy="4133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1</xdr:row>
      <xdr:rowOff>19050</xdr:rowOff>
    </xdr:from>
    <xdr:to>
      <xdr:col>23</xdr:col>
      <xdr:colOff>523875</xdr:colOff>
      <xdr:row>24</xdr:row>
      <xdr:rowOff>47625</xdr:rowOff>
    </xdr:to>
    <xdr:graphicFrame>
      <xdr:nvGraphicFramePr>
        <xdr:cNvPr id="1" name="Chart 1"/>
        <xdr:cNvGraphicFramePr/>
      </xdr:nvGraphicFramePr>
      <xdr:xfrm>
        <a:off x="9867900" y="180975"/>
        <a:ext cx="5067300" cy="3752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51</xdr:row>
      <xdr:rowOff>76200</xdr:rowOff>
    </xdr:from>
    <xdr:to>
      <xdr:col>12</xdr:col>
      <xdr:colOff>523875</xdr:colOff>
      <xdr:row>69</xdr:row>
      <xdr:rowOff>38100</xdr:rowOff>
    </xdr:to>
    <xdr:graphicFrame>
      <xdr:nvGraphicFramePr>
        <xdr:cNvPr id="1" name="Chart 1"/>
        <xdr:cNvGraphicFramePr/>
      </xdr:nvGraphicFramePr>
      <xdr:xfrm>
        <a:off x="3695700" y="8334375"/>
        <a:ext cx="4895850" cy="2876550"/>
      </xdr:xfrm>
      <a:graphic>
        <a:graphicData uri="http://schemas.openxmlformats.org/drawingml/2006/chart">
          <c:chart xmlns:c="http://schemas.openxmlformats.org/drawingml/2006/chart" r:id="rId1"/>
        </a:graphicData>
      </a:graphic>
    </xdr:graphicFrame>
    <xdr:clientData/>
  </xdr:twoCellAnchor>
  <xdr:twoCellAnchor>
    <xdr:from>
      <xdr:col>14</xdr:col>
      <xdr:colOff>228600</xdr:colOff>
      <xdr:row>107</xdr:row>
      <xdr:rowOff>19050</xdr:rowOff>
    </xdr:from>
    <xdr:to>
      <xdr:col>26</xdr:col>
      <xdr:colOff>600075</xdr:colOff>
      <xdr:row>140</xdr:row>
      <xdr:rowOff>66675</xdr:rowOff>
    </xdr:to>
    <xdr:graphicFrame>
      <xdr:nvGraphicFramePr>
        <xdr:cNvPr id="2" name="Chart 2"/>
        <xdr:cNvGraphicFramePr/>
      </xdr:nvGraphicFramePr>
      <xdr:xfrm>
        <a:off x="9515475" y="17345025"/>
        <a:ext cx="8096250" cy="5391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016/j.jfluchem.2005.07.004" TargetMode="External" /><Relationship Id="rId2" Type="http://schemas.openxmlformats.org/officeDocument/2006/relationships/hyperlink" Target="http://dx.doi.org/10.1039/b316395d" TargetMode="External" /><Relationship Id="rId3" Type="http://schemas.openxmlformats.org/officeDocument/2006/relationships/hyperlink" Target="http://dx.doi.org/10.1063/1.472061" TargetMode="External" /><Relationship Id="rId4" Type="http://schemas.openxmlformats.org/officeDocument/2006/relationships/hyperlink" Target="http://dx.doi.org/10.1063/1.445869"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021/jp004082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18"/>
  <sheetViews>
    <sheetView workbookViewId="0" topLeftCell="A34">
      <selection activeCell="C64" sqref="C64"/>
    </sheetView>
  </sheetViews>
  <sheetFormatPr defaultColWidth="9.140625" defaultRowHeight="12.75"/>
  <cols>
    <col min="1" max="1" width="51.421875" style="0" customWidth="1"/>
    <col min="2" max="2" width="20.00390625" style="0" customWidth="1"/>
    <col min="3" max="3" width="39.140625" style="0" customWidth="1"/>
    <col min="4" max="4" width="33.421875" style="0" customWidth="1"/>
  </cols>
  <sheetData>
    <row r="1" spans="1:3" ht="25.5">
      <c r="A1" s="1" t="s">
        <v>152</v>
      </c>
      <c r="B1" s="16"/>
      <c r="C1" s="6" t="s">
        <v>11</v>
      </c>
    </row>
    <row r="2" spans="1:2" ht="12.75">
      <c r="A2" t="s">
        <v>0</v>
      </c>
      <c r="B2" s="1"/>
    </row>
    <row r="3" spans="1:2" ht="12.75">
      <c r="A3" s="2" t="s">
        <v>1</v>
      </c>
      <c r="B3" s="2" t="s">
        <v>2</v>
      </c>
    </row>
    <row r="4" spans="1:2" ht="12.75">
      <c r="A4" s="3" t="s">
        <v>146</v>
      </c>
      <c r="B4">
        <v>1296</v>
      </c>
    </row>
    <row r="5" spans="1:2" ht="12.75">
      <c r="A5" s="27" t="s">
        <v>4</v>
      </c>
      <c r="B5" s="28"/>
    </row>
    <row r="6" spans="1:2" ht="12.75">
      <c r="A6" s="3" t="s">
        <v>145</v>
      </c>
      <c r="B6" s="4">
        <v>208.7</v>
      </c>
    </row>
    <row r="7" spans="1:2" ht="12.75">
      <c r="A7" s="3" t="s">
        <v>144</v>
      </c>
      <c r="B7" s="4">
        <v>456.9</v>
      </c>
    </row>
    <row r="8" spans="1:2" ht="12.75">
      <c r="A8" s="3" t="s">
        <v>149</v>
      </c>
      <c r="B8" s="4">
        <v>408.9</v>
      </c>
    </row>
    <row r="9" spans="1:2" ht="12.75">
      <c r="A9" s="3" t="s">
        <v>5</v>
      </c>
      <c r="B9" s="4">
        <v>271.9</v>
      </c>
    </row>
    <row r="10" spans="1:2" ht="12.75">
      <c r="A10" s="27"/>
      <c r="B10" s="28"/>
    </row>
    <row r="11" spans="1:2" ht="12.75">
      <c r="A11" s="27" t="s">
        <v>6</v>
      </c>
      <c r="B11" s="28"/>
    </row>
    <row r="12" spans="1:2" ht="12.75">
      <c r="A12" s="3" t="s">
        <v>144</v>
      </c>
      <c r="B12">
        <v>3.8</v>
      </c>
    </row>
    <row r="13" spans="1:2" ht="12.75">
      <c r="A13" s="3" t="s">
        <v>7</v>
      </c>
      <c r="B13" s="4">
        <v>30.8</v>
      </c>
    </row>
    <row r="14" spans="1:2" ht="12.75">
      <c r="A14" s="3" t="s">
        <v>5</v>
      </c>
      <c r="B14" s="4">
        <v>45.2</v>
      </c>
    </row>
    <row r="15" spans="1:2" ht="12.75">
      <c r="A15" s="27"/>
      <c r="B15" s="28"/>
    </row>
    <row r="16" spans="1:2" ht="12.75">
      <c r="A16" s="3" t="s">
        <v>148</v>
      </c>
      <c r="B16">
        <v>104.1</v>
      </c>
    </row>
    <row r="17" spans="1:2" ht="12.75">
      <c r="A17" s="3" t="s">
        <v>147</v>
      </c>
      <c r="B17" s="4">
        <v>131.1</v>
      </c>
    </row>
    <row r="18" spans="1:3" ht="76.5">
      <c r="A18" s="1" t="s">
        <v>143</v>
      </c>
      <c r="B18" t="s">
        <v>153</v>
      </c>
      <c r="C18" s="6" t="s">
        <v>12</v>
      </c>
    </row>
    <row r="19" spans="1:2" ht="12.75">
      <c r="A19" s="5" t="s">
        <v>10</v>
      </c>
      <c r="B19" s="1"/>
    </row>
    <row r="20" spans="1:2" ht="12.75">
      <c r="A20" s="5" t="s">
        <v>150</v>
      </c>
      <c r="B20" t="s">
        <v>151</v>
      </c>
    </row>
    <row r="21" spans="1:2" ht="12.75">
      <c r="A21" s="5" t="s">
        <v>3</v>
      </c>
      <c r="B21">
        <v>4.8</v>
      </c>
    </row>
    <row r="22" spans="1:2" ht="12.75">
      <c r="A22" s="5" t="s">
        <v>4</v>
      </c>
      <c r="B22">
        <v>2.83</v>
      </c>
    </row>
    <row r="23" spans="1:2" ht="12.75">
      <c r="A23" s="5" t="s">
        <v>8</v>
      </c>
      <c r="B23">
        <v>2.5</v>
      </c>
    </row>
    <row r="24" spans="1:2" ht="12.75">
      <c r="A24" s="5" t="s">
        <v>6</v>
      </c>
      <c r="B24">
        <v>0.8</v>
      </c>
    </row>
    <row r="25" spans="1:2" ht="12.75">
      <c r="A25" s="5" t="s">
        <v>9</v>
      </c>
      <c r="B25">
        <v>3.48</v>
      </c>
    </row>
    <row r="26" ht="12.75">
      <c r="A26" s="7"/>
    </row>
    <row r="35" ht="12.75">
      <c r="A35" t="s">
        <v>13</v>
      </c>
    </row>
    <row r="37" ht="12.75">
      <c r="A37" s="8"/>
    </row>
    <row r="40" ht="12.75">
      <c r="A40" s="8"/>
    </row>
    <row r="44" spans="1:9" ht="12.75">
      <c r="A44" s="7" t="s">
        <v>14</v>
      </c>
      <c r="B44">
        <v>1</v>
      </c>
      <c r="C44">
        <v>2</v>
      </c>
      <c r="D44">
        <v>3</v>
      </c>
      <c r="E44">
        <v>4</v>
      </c>
      <c r="F44">
        <v>5</v>
      </c>
      <c r="G44">
        <v>6</v>
      </c>
      <c r="H44">
        <v>7</v>
      </c>
      <c r="I44">
        <v>8</v>
      </c>
    </row>
    <row r="45" spans="1:11" ht="20.25">
      <c r="A45" s="2" t="s">
        <v>15</v>
      </c>
      <c r="B45" s="9" t="s">
        <v>16</v>
      </c>
      <c r="C45" s="9" t="s">
        <v>17</v>
      </c>
      <c r="D45" s="9" t="s">
        <v>18</v>
      </c>
      <c r="E45" s="9" t="s">
        <v>19</v>
      </c>
      <c r="F45" s="9" t="s">
        <v>20</v>
      </c>
      <c r="G45" s="9" t="s">
        <v>21</v>
      </c>
      <c r="H45" s="9" t="s">
        <v>22</v>
      </c>
      <c r="I45" s="9" t="s">
        <v>23</v>
      </c>
      <c r="J45" s="2" t="s">
        <v>24</v>
      </c>
      <c r="K45" s="2" t="s">
        <v>25</v>
      </c>
    </row>
    <row r="46" spans="1:11" ht="12.75">
      <c r="A46" s="3" t="s">
        <v>26</v>
      </c>
      <c r="B46" s="4">
        <v>0</v>
      </c>
      <c r="C46" s="4" t="s">
        <v>27</v>
      </c>
      <c r="D46" s="4">
        <v>0.51</v>
      </c>
      <c r="E46" s="3">
        <v>0</v>
      </c>
      <c r="F46" s="3">
        <v>0</v>
      </c>
      <c r="G46" s="3">
        <v>0</v>
      </c>
      <c r="H46" s="3">
        <v>0</v>
      </c>
      <c r="I46" s="3">
        <v>0</v>
      </c>
      <c r="J46" s="3" t="s">
        <v>28</v>
      </c>
      <c r="K46" s="3" t="s">
        <v>29</v>
      </c>
    </row>
    <row r="47" spans="1:11" ht="12.75">
      <c r="A47" s="3" t="s">
        <v>30</v>
      </c>
      <c r="B47" s="4">
        <v>4.775</v>
      </c>
      <c r="C47" s="4" t="s">
        <v>31</v>
      </c>
      <c r="D47" s="4" t="s">
        <v>32</v>
      </c>
      <c r="E47" s="4" t="s">
        <v>33</v>
      </c>
      <c r="F47" s="3">
        <v>0</v>
      </c>
      <c r="G47" s="3">
        <v>0</v>
      </c>
      <c r="H47" s="3">
        <v>0</v>
      </c>
      <c r="I47" s="3">
        <v>0</v>
      </c>
      <c r="J47" s="3" t="s">
        <v>28</v>
      </c>
      <c r="K47" s="3" t="s">
        <v>34</v>
      </c>
    </row>
    <row r="48" spans="1:11" ht="12.75">
      <c r="A48" s="3" t="s">
        <v>35</v>
      </c>
      <c r="B48" s="4">
        <v>5.5</v>
      </c>
      <c r="C48" s="4" t="s">
        <v>36</v>
      </c>
      <c r="D48" s="4">
        <v>0.282</v>
      </c>
      <c r="E48" s="4">
        <v>0.986</v>
      </c>
      <c r="F48" s="3">
        <v>0</v>
      </c>
      <c r="G48" s="3">
        <v>0</v>
      </c>
      <c r="H48" s="3">
        <v>0</v>
      </c>
      <c r="I48" s="3">
        <v>0</v>
      </c>
      <c r="J48" s="3" t="s">
        <v>28</v>
      </c>
      <c r="K48" s="3" t="s">
        <v>34</v>
      </c>
    </row>
    <row r="49" spans="1:11" ht="12.75">
      <c r="A49" s="3" t="s">
        <v>37</v>
      </c>
      <c r="B49" s="4" t="s">
        <v>38</v>
      </c>
      <c r="C49" s="4">
        <v>21.318</v>
      </c>
      <c r="D49" s="4">
        <v>0.677</v>
      </c>
      <c r="E49" s="4" t="s">
        <v>39</v>
      </c>
      <c r="F49" s="4">
        <v>2.862</v>
      </c>
      <c r="G49" s="3">
        <v>0</v>
      </c>
      <c r="H49" s="3">
        <v>0</v>
      </c>
      <c r="I49" s="3">
        <v>0</v>
      </c>
      <c r="J49" s="3" t="s">
        <v>28</v>
      </c>
      <c r="K49" s="3" t="s">
        <v>40</v>
      </c>
    </row>
    <row r="50" spans="1:11" ht="12.75">
      <c r="A50" s="3" t="s">
        <v>41</v>
      </c>
      <c r="B50" s="4">
        <v>1.737</v>
      </c>
      <c r="C50" s="4">
        <v>1.825</v>
      </c>
      <c r="D50" s="4">
        <v>0.636</v>
      </c>
      <c r="E50" s="3">
        <v>0</v>
      </c>
      <c r="F50" s="3">
        <v>0</v>
      </c>
      <c r="G50" s="3">
        <v>0</v>
      </c>
      <c r="H50" s="3">
        <v>0</v>
      </c>
      <c r="I50" s="3">
        <v>0</v>
      </c>
      <c r="J50" s="3" t="s">
        <v>28</v>
      </c>
      <c r="K50" s="3" t="s">
        <v>42</v>
      </c>
    </row>
    <row r="51" spans="1:11" ht="12.75">
      <c r="A51" s="3" t="s">
        <v>43</v>
      </c>
      <c r="B51" s="4">
        <v>16.485</v>
      </c>
      <c r="C51" s="4" t="s">
        <v>44</v>
      </c>
      <c r="D51" s="4" t="s">
        <v>45</v>
      </c>
      <c r="E51" s="4" t="s">
        <v>46</v>
      </c>
      <c r="F51" s="4">
        <v>49.916</v>
      </c>
      <c r="G51" s="3">
        <v>30.564</v>
      </c>
      <c r="H51" s="4" t="s">
        <v>47</v>
      </c>
      <c r="I51" s="3" t="s">
        <v>48</v>
      </c>
      <c r="J51" s="3" t="s">
        <v>49</v>
      </c>
      <c r="K51" s="3" t="s">
        <v>42</v>
      </c>
    </row>
    <row r="52" spans="1:11" ht="12.75">
      <c r="A52" s="3" t="s">
        <v>50</v>
      </c>
      <c r="B52" s="4" t="s">
        <v>51</v>
      </c>
      <c r="C52" s="4">
        <v>7.501</v>
      </c>
      <c r="D52" s="4">
        <v>11.681</v>
      </c>
      <c r="E52" s="4" t="s">
        <v>52</v>
      </c>
      <c r="F52" s="4" t="s">
        <v>53</v>
      </c>
      <c r="G52" s="3">
        <v>15.586</v>
      </c>
      <c r="H52" s="4">
        <v>12.35</v>
      </c>
      <c r="I52" s="3" t="s">
        <v>54</v>
      </c>
      <c r="J52" s="3" t="s">
        <v>49</v>
      </c>
      <c r="K52" s="3" t="s">
        <v>55</v>
      </c>
    </row>
    <row r="55" spans="1:3" ht="55.5" customHeight="1">
      <c r="A55" s="26" t="s">
        <v>156</v>
      </c>
      <c r="B55" s="26"/>
      <c r="C55" s="26"/>
    </row>
    <row r="56" spans="1:3" ht="55.5" customHeight="1">
      <c r="A56" s="6" t="s">
        <v>356</v>
      </c>
      <c r="B56" s="6" t="s">
        <v>358</v>
      </c>
      <c r="C56" s="6"/>
    </row>
    <row r="57" spans="1:3" ht="15" customHeight="1">
      <c r="A57" s="6" t="s">
        <v>354</v>
      </c>
      <c r="B57" s="6" t="s">
        <v>355</v>
      </c>
      <c r="C57" s="6" t="s">
        <v>191</v>
      </c>
    </row>
    <row r="58" spans="1:3" ht="15" customHeight="1">
      <c r="A58" s="6" t="s">
        <v>357</v>
      </c>
      <c r="B58" s="6">
        <v>1.526</v>
      </c>
      <c r="C58" s="6">
        <v>310</v>
      </c>
    </row>
    <row r="59" spans="1:3" ht="15" customHeight="1">
      <c r="A59" s="6"/>
      <c r="B59" s="6"/>
      <c r="C59" s="6"/>
    </row>
    <row r="60" spans="1:3" ht="15" customHeight="1">
      <c r="A60" s="6"/>
      <c r="B60" s="6"/>
      <c r="C60" s="6"/>
    </row>
    <row r="61" spans="1:3" ht="15" customHeight="1">
      <c r="A61" s="6"/>
      <c r="B61" s="6"/>
      <c r="C61" s="6"/>
    </row>
    <row r="62" spans="1:3" ht="15" customHeight="1">
      <c r="A62" s="6"/>
      <c r="B62" s="6"/>
      <c r="C62" s="6"/>
    </row>
    <row r="63" spans="1:2" ht="12.75">
      <c r="A63" s="17" t="s">
        <v>159</v>
      </c>
      <c r="B63" s="1" t="s">
        <v>173</v>
      </c>
    </row>
    <row r="64" spans="1:2" ht="12.75">
      <c r="A64" t="s">
        <v>157</v>
      </c>
      <c r="B64">
        <v>0.9572</v>
      </c>
    </row>
    <row r="65" spans="1:2" ht="12.75">
      <c r="A65" t="s">
        <v>158</v>
      </c>
      <c r="B65">
        <v>104.52</v>
      </c>
    </row>
    <row r="66" spans="1:2" ht="12.75">
      <c r="A66" t="s">
        <v>162</v>
      </c>
      <c r="B66">
        <v>582000</v>
      </c>
    </row>
    <row r="67" spans="1:2" ht="12.75">
      <c r="A67" t="s">
        <v>163</v>
      </c>
      <c r="B67">
        <v>595</v>
      </c>
    </row>
    <row r="68" spans="1:2" ht="12.75">
      <c r="A68" t="s">
        <v>160</v>
      </c>
      <c r="B68">
        <v>-0.834</v>
      </c>
    </row>
    <row r="69" spans="1:2" ht="12.75">
      <c r="A69" t="s">
        <v>161</v>
      </c>
      <c r="B69">
        <v>0.417</v>
      </c>
    </row>
    <row r="71" spans="1:2" ht="12.75">
      <c r="A71" s="17" t="s">
        <v>164</v>
      </c>
      <c r="B71" s="1" t="s">
        <v>172</v>
      </c>
    </row>
    <row r="72" spans="1:2" ht="12.75">
      <c r="A72" t="s">
        <v>165</v>
      </c>
      <c r="B72">
        <v>0.0498</v>
      </c>
    </row>
    <row r="73" spans="1:2" ht="12.75">
      <c r="A73" t="s">
        <v>166</v>
      </c>
      <c r="B73">
        <v>0.8</v>
      </c>
    </row>
    <row r="74" spans="1:2" ht="12.75">
      <c r="A74" t="s">
        <v>167</v>
      </c>
      <c r="B74">
        <v>0.1591</v>
      </c>
    </row>
    <row r="75" spans="1:2" ht="12.75">
      <c r="A75" t="s">
        <v>168</v>
      </c>
      <c r="B75">
        <v>1.6</v>
      </c>
    </row>
    <row r="76" spans="1:2" ht="12.75">
      <c r="A76" t="s">
        <v>170</v>
      </c>
      <c r="B76">
        <v>450</v>
      </c>
    </row>
    <row r="77" spans="1:2" ht="12.75">
      <c r="A77" t="s">
        <v>171</v>
      </c>
      <c r="B77">
        <v>55</v>
      </c>
    </row>
    <row r="78" ht="12.75">
      <c r="A78" s="17" t="s">
        <v>169</v>
      </c>
    </row>
    <row r="79" spans="1:2" ht="12.75">
      <c r="A79" t="s">
        <v>165</v>
      </c>
      <c r="B79">
        <v>0.04598</v>
      </c>
    </row>
    <row r="80" spans="1:2" ht="12.75">
      <c r="A80" t="s">
        <v>166</v>
      </c>
      <c r="B80">
        <v>0.449</v>
      </c>
    </row>
    <row r="81" spans="1:2" ht="12.75">
      <c r="A81" t="s">
        <v>167</v>
      </c>
      <c r="B81">
        <v>0.152073</v>
      </c>
    </row>
    <row r="82" spans="1:2" ht="12.75">
      <c r="A82" t="s">
        <v>168</v>
      </c>
      <c r="B82">
        <v>3.5365</v>
      </c>
    </row>
    <row r="84" spans="1:2" ht="12.75">
      <c r="A84" t="s">
        <v>225</v>
      </c>
      <c r="B84" t="s">
        <v>249</v>
      </c>
    </row>
    <row r="85" spans="1:2" ht="12.75">
      <c r="A85">
        <v>-180</v>
      </c>
      <c r="B85">
        <f>1/2*(B46*(1+(-1)^(B44)*COS(B44*A85*PI()/180)))</f>
        <v>0</v>
      </c>
    </row>
    <row r="86" ht="12.75">
      <c r="A86">
        <v>-170</v>
      </c>
    </row>
    <row r="88" spans="1:2" ht="15.75">
      <c r="A88" s="23" t="s">
        <v>302</v>
      </c>
      <c r="B88" t="s">
        <v>303</v>
      </c>
    </row>
    <row r="89" ht="12.75">
      <c r="A89" t="s">
        <v>304</v>
      </c>
    </row>
    <row r="90" spans="1:3" ht="12.75">
      <c r="A90" t="s">
        <v>305</v>
      </c>
      <c r="B90" t="s">
        <v>306</v>
      </c>
      <c r="C90" t="s">
        <v>307</v>
      </c>
    </row>
    <row r="91" spans="1:10" ht="12.75">
      <c r="A91" t="s">
        <v>309</v>
      </c>
      <c r="B91">
        <v>0</v>
      </c>
      <c r="C91">
        <v>1</v>
      </c>
      <c r="D91">
        <v>2</v>
      </c>
      <c r="E91">
        <v>3</v>
      </c>
      <c r="F91">
        <v>4</v>
      </c>
      <c r="G91">
        <v>5</v>
      </c>
      <c r="H91">
        <v>6</v>
      </c>
      <c r="I91">
        <v>7</v>
      </c>
      <c r="J91" t="s">
        <v>310</v>
      </c>
    </row>
    <row r="92" spans="1:9" ht="12.75">
      <c r="A92" t="s">
        <v>308</v>
      </c>
      <c r="B92">
        <v>7.5006</v>
      </c>
      <c r="C92">
        <v>-5.4317</v>
      </c>
      <c r="D92">
        <v>8.1808</v>
      </c>
      <c r="E92">
        <v>7.8136</v>
      </c>
      <c r="F92">
        <v>-20.2827</v>
      </c>
      <c r="G92">
        <v>4.7371</v>
      </c>
      <c r="H92">
        <v>13.1162</v>
      </c>
      <c r="I92">
        <v>-3.6935</v>
      </c>
    </row>
    <row r="93" spans="1:10" ht="12.75">
      <c r="A93">
        <v>-180</v>
      </c>
      <c r="B93">
        <f aca="true" t="shared" si="0" ref="B93:I102">B$92*COS($A93*PI()/180)^B$91</f>
        <v>7.5006</v>
      </c>
      <c r="C93">
        <f t="shared" si="0"/>
        <v>5.4317</v>
      </c>
      <c r="D93">
        <f t="shared" si="0"/>
        <v>8.1808</v>
      </c>
      <c r="E93">
        <f t="shared" si="0"/>
        <v>-7.8136</v>
      </c>
      <c r="F93">
        <f t="shared" si="0"/>
        <v>-20.2827</v>
      </c>
      <c r="G93">
        <f t="shared" si="0"/>
        <v>-4.7371</v>
      </c>
      <c r="H93">
        <f t="shared" si="0"/>
        <v>13.1162</v>
      </c>
      <c r="I93">
        <f t="shared" si="0"/>
        <v>3.6935</v>
      </c>
      <c r="J93">
        <f>SUM(B93:I93)</f>
        <v>5.089400000000003</v>
      </c>
    </row>
    <row r="94" spans="1:10" ht="12.75">
      <c r="A94">
        <v>-175</v>
      </c>
      <c r="B94">
        <f t="shared" si="0"/>
        <v>7.5006</v>
      </c>
      <c r="C94">
        <f t="shared" si="0"/>
        <v>5.411030741624934</v>
      </c>
      <c r="D94">
        <f t="shared" si="0"/>
        <v>8.118657632921137</v>
      </c>
      <c r="E94">
        <f t="shared" si="0"/>
        <v>-7.724739678830313</v>
      </c>
      <c r="F94">
        <f t="shared" si="0"/>
        <v>-19.97573054596215</v>
      </c>
      <c r="G94">
        <f t="shared" si="0"/>
        <v>-4.64765286374032</v>
      </c>
      <c r="H94">
        <f t="shared" si="0"/>
        <v>12.819567883390974</v>
      </c>
      <c r="I94">
        <f t="shared" si="0"/>
        <v>3.5962318701868408</v>
      </c>
      <c r="J94">
        <f aca="true" t="shared" si="1" ref="J94:J157">SUM(B94:I94)</f>
        <v>5.097965039591102</v>
      </c>
    </row>
    <row r="95" spans="1:10" ht="12.75">
      <c r="A95">
        <v>-170</v>
      </c>
      <c r="B95">
        <f t="shared" si="0"/>
        <v>7.5006</v>
      </c>
      <c r="C95">
        <f t="shared" si="0"/>
        <v>5.349180272036411</v>
      </c>
      <c r="D95">
        <f t="shared" si="0"/>
        <v>7.934118696062678</v>
      </c>
      <c r="E95">
        <f t="shared" si="0"/>
        <v>-7.4628644179546635</v>
      </c>
      <c r="F95">
        <f t="shared" si="0"/>
        <v>-19.077945463113327</v>
      </c>
      <c r="G95">
        <f t="shared" si="0"/>
        <v>-4.388032622195232</v>
      </c>
      <c r="H95">
        <f t="shared" si="0"/>
        <v>11.96511243875952</v>
      </c>
      <c r="I95">
        <f t="shared" si="0"/>
        <v>3.3181675829956077</v>
      </c>
      <c r="J95">
        <f t="shared" si="1"/>
        <v>5.1383364865909975</v>
      </c>
    </row>
    <row r="96" spans="1:10" ht="12.75">
      <c r="A96">
        <v>-165</v>
      </c>
      <c r="B96">
        <f t="shared" si="0"/>
        <v>7.5006</v>
      </c>
      <c r="C96">
        <f t="shared" si="0"/>
        <v>5.2466193106543315</v>
      </c>
      <c r="D96">
        <f t="shared" si="0"/>
        <v>7.632790311639867</v>
      </c>
      <c r="E96">
        <f t="shared" si="0"/>
        <v>-7.041780913588998</v>
      </c>
      <c r="F96">
        <f t="shared" si="0"/>
        <v>-17.65634797866931</v>
      </c>
      <c r="G96">
        <f t="shared" si="0"/>
        <v>-3.9831938550930346</v>
      </c>
      <c r="H96">
        <f t="shared" si="0"/>
        <v>10.652969875523802</v>
      </c>
      <c r="I96">
        <f t="shared" si="0"/>
        <v>2.897640813438019</v>
      </c>
      <c r="J96">
        <f t="shared" si="1"/>
        <v>5.249297563904679</v>
      </c>
    </row>
    <row r="97" spans="1:10" ht="12.75">
      <c r="A97">
        <v>-160</v>
      </c>
      <c r="B97">
        <f t="shared" si="0"/>
        <v>7.5006</v>
      </c>
      <c r="C97">
        <f t="shared" si="0"/>
        <v>5.1041284083228184</v>
      </c>
      <c r="D97">
        <f t="shared" si="0"/>
        <v>7.223828190133866</v>
      </c>
      <c r="E97">
        <f t="shared" si="0"/>
        <v>-6.483486696329579</v>
      </c>
      <c r="F97">
        <f t="shared" si="0"/>
        <v>-15.814994049870272</v>
      </c>
      <c r="G97">
        <f t="shared" si="0"/>
        <v>-3.4708962723014514</v>
      </c>
      <c r="H97">
        <f t="shared" si="0"/>
        <v>9.030731476251464</v>
      </c>
      <c r="I97">
        <f t="shared" si="0"/>
        <v>2.3896748806311976</v>
      </c>
      <c r="J97">
        <f t="shared" si="1"/>
        <v>5.479585936838046</v>
      </c>
    </row>
    <row r="98" spans="1:10" ht="12.75">
      <c r="A98">
        <v>-155</v>
      </c>
      <c r="B98">
        <f t="shared" si="0"/>
        <v>7.5006</v>
      </c>
      <c r="C98">
        <f t="shared" si="0"/>
        <v>4.922792006846971</v>
      </c>
      <c r="D98">
        <f t="shared" si="0"/>
        <v>6.71965843866182</v>
      </c>
      <c r="E98">
        <f t="shared" si="0"/>
        <v>-5.81672201629544</v>
      </c>
      <c r="F98">
        <f t="shared" si="0"/>
        <v>-13.684489888848951</v>
      </c>
      <c r="G98">
        <f t="shared" si="0"/>
        <v>-2.896617233490647</v>
      </c>
      <c r="H98">
        <f t="shared" si="0"/>
        <v>7.26879296637348</v>
      </c>
      <c r="I98">
        <f t="shared" si="0"/>
        <v>1.8551032392728855</v>
      </c>
      <c r="J98">
        <f t="shared" si="1"/>
        <v>5.86911751252012</v>
      </c>
    </row>
    <row r="99" spans="1:10" ht="12.75">
      <c r="A99">
        <v>-150</v>
      </c>
      <c r="B99">
        <f t="shared" si="0"/>
        <v>7.5006</v>
      </c>
      <c r="C99">
        <f t="shared" si="0"/>
        <v>4.703990185735936</v>
      </c>
      <c r="D99">
        <f t="shared" si="0"/>
        <v>6.135600000000001</v>
      </c>
      <c r="E99">
        <f t="shared" si="0"/>
        <v>-5.075082071257569</v>
      </c>
      <c r="F99">
        <f t="shared" si="0"/>
        <v>-11.409018750000003</v>
      </c>
      <c r="G99">
        <f t="shared" si="0"/>
        <v>-2.3076275289003374</v>
      </c>
      <c r="H99">
        <f t="shared" si="0"/>
        <v>5.533396875000003</v>
      </c>
      <c r="I99">
        <f t="shared" si="0"/>
        <v>1.349436724682833</v>
      </c>
      <c r="J99">
        <f t="shared" si="1"/>
        <v>6.431295435260865</v>
      </c>
    </row>
    <row r="100" spans="1:10" ht="12.75">
      <c r="A100">
        <v>-145</v>
      </c>
      <c r="B100">
        <f t="shared" si="0"/>
        <v>7.5006</v>
      </c>
      <c r="C100">
        <f t="shared" si="0"/>
        <v>4.449388158964516</v>
      </c>
      <c r="D100">
        <f t="shared" si="0"/>
        <v>5.489399194259312</v>
      </c>
      <c r="E100">
        <f t="shared" si="0"/>
        <v>-4.294817687239082</v>
      </c>
      <c r="F100">
        <f t="shared" si="0"/>
        <v>-9.132377277209597</v>
      </c>
      <c r="G100">
        <f t="shared" si="0"/>
        <v>-1.7471699433067267</v>
      </c>
      <c r="H100">
        <f t="shared" si="0"/>
        <v>3.962736059630673</v>
      </c>
      <c r="I100">
        <f t="shared" si="0"/>
        <v>0.9140916448279202</v>
      </c>
      <c r="J100">
        <f t="shared" si="1"/>
        <v>7.141850149927016</v>
      </c>
    </row>
    <row r="101" spans="1:10" ht="12.75">
      <c r="A101">
        <v>-140</v>
      </c>
      <c r="B101">
        <f t="shared" si="0"/>
        <v>7.5006</v>
      </c>
      <c r="C101">
        <f t="shared" si="0"/>
        <v>4.160923601689352</v>
      </c>
      <c r="D101">
        <f t="shared" si="0"/>
        <v>4.800690505928809</v>
      </c>
      <c r="E101">
        <f t="shared" si="0"/>
        <v>-3.512473645565833</v>
      </c>
      <c r="F101">
        <f t="shared" si="0"/>
        <v>-6.9846015066307245</v>
      </c>
      <c r="G101">
        <f t="shared" si="0"/>
        <v>-1.24963271256651</v>
      </c>
      <c r="H101">
        <f t="shared" si="0"/>
        <v>2.650524540694124</v>
      </c>
      <c r="I101">
        <f t="shared" si="0"/>
        <v>0.5717627648937745</v>
      </c>
      <c r="J101">
        <f t="shared" si="1"/>
        <v>7.937793548442993</v>
      </c>
    </row>
    <row r="102" spans="1:10" ht="12.75">
      <c r="A102">
        <v>-135</v>
      </c>
      <c r="B102">
        <f t="shared" si="0"/>
        <v>7.5006</v>
      </c>
      <c r="C102">
        <f t="shared" si="0"/>
        <v>3.84079190337097</v>
      </c>
      <c r="D102">
        <f t="shared" si="0"/>
        <v>4.090399999999999</v>
      </c>
      <c r="E102">
        <f t="shared" si="0"/>
        <v>-2.7625247727396034</v>
      </c>
      <c r="F102">
        <f t="shared" si="0"/>
        <v>-5.070674999999997</v>
      </c>
      <c r="G102">
        <f t="shared" si="0"/>
        <v>-0.8374088832896981</v>
      </c>
      <c r="H102">
        <f t="shared" si="0"/>
        <v>1.6395249999999988</v>
      </c>
      <c r="I102">
        <f t="shared" si="0"/>
        <v>0.3264623620390639</v>
      </c>
      <c r="J102">
        <f t="shared" si="1"/>
        <v>8.727170609380735</v>
      </c>
    </row>
    <row r="103" spans="1:10" ht="12.75">
      <c r="A103">
        <v>-130</v>
      </c>
      <c r="B103">
        <f aca="true" t="shared" si="2" ref="B103:I112">B$92*COS($A103*PI()/180)^B$91</f>
        <v>7.5006</v>
      </c>
      <c r="C103">
        <f t="shared" si="2"/>
        <v>3.491429459534376</v>
      </c>
      <c r="D103">
        <f t="shared" si="2"/>
        <v>3.380109494071188</v>
      </c>
      <c r="E103">
        <f t="shared" si="2"/>
        <v>-2.0751699265325354</v>
      </c>
      <c r="F103">
        <f t="shared" si="2"/>
        <v>-3.462547613465683</v>
      </c>
      <c r="G103">
        <f t="shared" si="2"/>
        <v>-0.5198164710110442</v>
      </c>
      <c r="H103">
        <f t="shared" si="2"/>
        <v>0.9251518270238229</v>
      </c>
      <c r="I103">
        <f t="shared" si="2"/>
        <v>0.16745980479540526</v>
      </c>
      <c r="J103">
        <f t="shared" si="1"/>
        <v>9.40721657441553</v>
      </c>
    </row>
    <row r="104" spans="1:10" ht="12.75">
      <c r="A104">
        <v>-125</v>
      </c>
      <c r="B104">
        <f t="shared" si="2"/>
        <v>7.5006</v>
      </c>
      <c r="C104">
        <f t="shared" si="2"/>
        <v>3.1154951293279756</v>
      </c>
      <c r="D104">
        <f t="shared" si="2"/>
        <v>2.691400805740682</v>
      </c>
      <c r="E104">
        <f t="shared" si="2"/>
        <v>-1.4744331232313324</v>
      </c>
      <c r="F104">
        <f t="shared" si="2"/>
        <v>-2.1952853161780634</v>
      </c>
      <c r="G104">
        <f t="shared" si="2"/>
        <v>-0.2940824172990999</v>
      </c>
      <c r="H104">
        <f t="shared" si="2"/>
        <v>0.4670418935553916</v>
      </c>
      <c r="I104">
        <f t="shared" si="2"/>
        <v>0.07543575004855683</v>
      </c>
      <c r="J104">
        <f t="shared" si="1"/>
        <v>9.886172721964112</v>
      </c>
    </row>
    <row r="105" spans="1:10" ht="12.75">
      <c r="A105">
        <v>-120</v>
      </c>
      <c r="B105">
        <f t="shared" si="2"/>
        <v>7.5006</v>
      </c>
      <c r="C105">
        <f t="shared" si="2"/>
        <v>2.7158499999999988</v>
      </c>
      <c r="D105">
        <f t="shared" si="2"/>
        <v>2.045199999999998</v>
      </c>
      <c r="E105">
        <f t="shared" si="2"/>
        <v>-0.9766999999999987</v>
      </c>
      <c r="F105">
        <f t="shared" si="2"/>
        <v>-1.2676687499999977</v>
      </c>
      <c r="G105">
        <f t="shared" si="2"/>
        <v>-0.14803437499999966</v>
      </c>
      <c r="H105">
        <f t="shared" si="2"/>
        <v>0.20494062499999943</v>
      </c>
      <c r="I105">
        <f t="shared" si="2"/>
        <v>0.028855468749999908</v>
      </c>
      <c r="J105">
        <f t="shared" si="1"/>
        <v>10.10304296875</v>
      </c>
    </row>
    <row r="106" spans="1:10" ht="12.75">
      <c r="A106">
        <v>-115</v>
      </c>
      <c r="B106">
        <f t="shared" si="2"/>
        <v>7.5006</v>
      </c>
      <c r="C106">
        <f t="shared" si="2"/>
        <v>2.295535612296957</v>
      </c>
      <c r="D106">
        <f t="shared" si="2"/>
        <v>1.4611415613381786</v>
      </c>
      <c r="E106">
        <f t="shared" si="2"/>
        <v>-0.5897880283797804</v>
      </c>
      <c r="F106">
        <f t="shared" si="2"/>
        <v>-0.6470216378597826</v>
      </c>
      <c r="G106">
        <f t="shared" si="2"/>
        <v>-0.06386366670939549</v>
      </c>
      <c r="H106">
        <f t="shared" si="2"/>
        <v>0.07473044815839663</v>
      </c>
      <c r="I106">
        <f t="shared" si="2"/>
        <v>0.008893565730213772</v>
      </c>
      <c r="J106">
        <f t="shared" si="1"/>
        <v>10.040227854574788</v>
      </c>
    </row>
    <row r="107" spans="1:10" ht="12.75">
      <c r="A107">
        <v>-110</v>
      </c>
      <c r="B107">
        <f t="shared" si="2"/>
        <v>7.5006</v>
      </c>
      <c r="C107">
        <f t="shared" si="2"/>
        <v>1.8577508125020348</v>
      </c>
      <c r="D107">
        <f t="shared" si="2"/>
        <v>0.9569718098661321</v>
      </c>
      <c r="E107">
        <f t="shared" si="2"/>
        <v>-0.31261242016456137</v>
      </c>
      <c r="F107">
        <f t="shared" si="2"/>
        <v>-0.277544423420983</v>
      </c>
      <c r="G107">
        <f t="shared" si="2"/>
        <v>-0.022170269683628917</v>
      </c>
      <c r="H107">
        <f t="shared" si="2"/>
        <v>0.020995109216651722</v>
      </c>
      <c r="I107">
        <f t="shared" si="2"/>
        <v>0.002022087273595383</v>
      </c>
      <c r="J107">
        <f t="shared" si="1"/>
        <v>9.726012705589241</v>
      </c>
    </row>
    <row r="108" spans="1:10" ht="12.75">
      <c r="A108">
        <v>-105</v>
      </c>
      <c r="B108">
        <f t="shared" si="2"/>
        <v>7.5006</v>
      </c>
      <c r="C108">
        <f t="shared" si="2"/>
        <v>1.4058274072833625</v>
      </c>
      <c r="D108">
        <f t="shared" si="2"/>
        <v>0.5480096883601324</v>
      </c>
      <c r="E108">
        <f t="shared" si="2"/>
        <v>-0.13546898173999036</v>
      </c>
      <c r="F108">
        <f t="shared" si="2"/>
        <v>-0.09101452133068323</v>
      </c>
      <c r="G108">
        <f t="shared" si="2"/>
        <v>-0.005501659466967822</v>
      </c>
      <c r="H108">
        <f t="shared" si="2"/>
        <v>0.00394262447619336</v>
      </c>
      <c r="I108">
        <f t="shared" si="2"/>
        <v>0.0002873503413262294</v>
      </c>
      <c r="J108">
        <f t="shared" si="1"/>
        <v>9.226681907923375</v>
      </c>
    </row>
    <row r="109" spans="1:10" ht="12.75">
      <c r="A109">
        <v>-100</v>
      </c>
      <c r="B109">
        <f t="shared" si="2"/>
        <v>7.5006</v>
      </c>
      <c r="C109">
        <f t="shared" si="2"/>
        <v>0.9432048066334654</v>
      </c>
      <c r="D109">
        <f t="shared" si="2"/>
        <v>0.2466813039373202</v>
      </c>
      <c r="E109">
        <f t="shared" si="2"/>
        <v>-0.0409130507637452</v>
      </c>
      <c r="F109">
        <f t="shared" si="2"/>
        <v>-0.018441943498989963</v>
      </c>
      <c r="G109">
        <f t="shared" si="2"/>
        <v>-0.0007479347349417744</v>
      </c>
      <c r="H109">
        <f t="shared" si="2"/>
        <v>0.0003596080544020315</v>
      </c>
      <c r="I109">
        <f t="shared" si="2"/>
        <v>1.758448742372679E-05</v>
      </c>
      <c r="J109">
        <f t="shared" si="1"/>
        <v>8.630760374114935</v>
      </c>
    </row>
    <row r="110" spans="1:10" ht="12.75">
      <c r="A110">
        <v>-95</v>
      </c>
      <c r="B110">
        <f t="shared" si="2"/>
        <v>7.5006</v>
      </c>
      <c r="C110">
        <f t="shared" si="2"/>
        <v>0.47340384788245526</v>
      </c>
      <c r="D110">
        <f t="shared" si="2"/>
        <v>0.06214236707886424</v>
      </c>
      <c r="E110">
        <f t="shared" si="2"/>
        <v>-0.005172960946562382</v>
      </c>
      <c r="F110">
        <f t="shared" si="2"/>
        <v>-0.001170333941436798</v>
      </c>
      <c r="G110">
        <f t="shared" si="2"/>
        <v>-2.382278846419522E-05</v>
      </c>
      <c r="H110">
        <f t="shared" si="2"/>
        <v>5.7488910776524905E-06</v>
      </c>
      <c r="I110">
        <f t="shared" si="2"/>
        <v>1.410945249516844E-07</v>
      </c>
      <c r="J110">
        <f t="shared" si="1"/>
        <v>8.029784987270459</v>
      </c>
    </row>
    <row r="111" spans="1:10" ht="12.75">
      <c r="A111">
        <v>-90</v>
      </c>
      <c r="B111">
        <f t="shared" si="2"/>
        <v>7.5006</v>
      </c>
      <c r="C111">
        <f t="shared" si="2"/>
        <v>-3.3273194312635756E-16</v>
      </c>
      <c r="D111">
        <f t="shared" si="2"/>
        <v>3.069822164022695E-32</v>
      </c>
      <c r="E111">
        <f t="shared" si="2"/>
        <v>1.7960868685053244E-48</v>
      </c>
      <c r="F111">
        <f t="shared" si="2"/>
        <v>-2.8560160981091816E-64</v>
      </c>
      <c r="G111">
        <f t="shared" si="2"/>
        <v>4.0860733427153615E-81</v>
      </c>
      <c r="H111">
        <f t="shared" si="2"/>
        <v>6.930432791025993E-97</v>
      </c>
      <c r="I111">
        <f t="shared" si="2"/>
        <v>-1.1954988158420324E-113</v>
      </c>
      <c r="J111">
        <f t="shared" si="1"/>
        <v>7.5006</v>
      </c>
    </row>
    <row r="112" spans="1:10" ht="12.75">
      <c r="A112">
        <v>-85</v>
      </c>
      <c r="B112">
        <f t="shared" si="2"/>
        <v>7.5006</v>
      </c>
      <c r="C112">
        <f t="shared" si="2"/>
        <v>-0.4734038478824547</v>
      </c>
      <c r="D112">
        <f t="shared" si="2"/>
        <v>0.0621423670788641</v>
      </c>
      <c r="E112">
        <f t="shared" si="2"/>
        <v>0.005172960946562366</v>
      </c>
      <c r="F112">
        <f t="shared" si="2"/>
        <v>-0.0011703339414367926</v>
      </c>
      <c r="G112">
        <f t="shared" si="2"/>
        <v>2.3822788464195087E-05</v>
      </c>
      <c r="H112">
        <f t="shared" si="2"/>
        <v>5.748891077652451E-06</v>
      </c>
      <c r="I112">
        <f t="shared" si="2"/>
        <v>-1.4109452495168329E-07</v>
      </c>
      <c r="J112">
        <f t="shared" si="1"/>
        <v>7.093370576786553</v>
      </c>
    </row>
    <row r="113" spans="1:10" ht="12.75">
      <c r="A113">
        <v>-80</v>
      </c>
      <c r="B113">
        <f aca="true" t="shared" si="3" ref="B113:I122">B$92*COS($A113*PI()/180)^B$91</f>
        <v>7.5006</v>
      </c>
      <c r="C113">
        <f t="shared" si="3"/>
        <v>-0.943204806633466</v>
      </c>
      <c r="D113">
        <f t="shared" si="3"/>
        <v>0.24668130393732052</v>
      </c>
      <c r="E113">
        <f t="shared" si="3"/>
        <v>0.040913050763745275</v>
      </c>
      <c r="F113">
        <f t="shared" si="3"/>
        <v>-0.01844194349899001</v>
      </c>
      <c r="G113">
        <f t="shared" si="3"/>
        <v>0.0007479347349417768</v>
      </c>
      <c r="H113">
        <f t="shared" si="3"/>
        <v>0.00035960805440203293</v>
      </c>
      <c r="I113">
        <f t="shared" si="3"/>
        <v>-1.758448742372687E-05</v>
      </c>
      <c r="J113">
        <f t="shared" si="1"/>
        <v>6.82763756287053</v>
      </c>
    </row>
    <row r="114" spans="1:10" ht="12.75">
      <c r="A114">
        <v>-75</v>
      </c>
      <c r="B114">
        <f t="shared" si="3"/>
        <v>7.5006</v>
      </c>
      <c r="C114">
        <f t="shared" si="3"/>
        <v>-1.4058274072833619</v>
      </c>
      <c r="D114">
        <f t="shared" si="3"/>
        <v>0.548009688360132</v>
      </c>
      <c r="E114">
        <f t="shared" si="3"/>
        <v>0.1354689817399902</v>
      </c>
      <c r="F114">
        <f t="shared" si="3"/>
        <v>-0.09101452133068308</v>
      </c>
      <c r="G114">
        <f t="shared" si="3"/>
        <v>0.0055016594669678115</v>
      </c>
      <c r="H114">
        <f t="shared" si="3"/>
        <v>0.003942624476193351</v>
      </c>
      <c r="I114">
        <f t="shared" si="3"/>
        <v>-0.0002873503413262286</v>
      </c>
      <c r="J114">
        <f t="shared" si="1"/>
        <v>6.696393675087913</v>
      </c>
    </row>
    <row r="115" spans="1:10" ht="12.75">
      <c r="A115">
        <v>-70</v>
      </c>
      <c r="B115">
        <f t="shared" si="3"/>
        <v>7.5006</v>
      </c>
      <c r="C115">
        <f t="shared" si="3"/>
        <v>-1.8577508125020354</v>
      </c>
      <c r="D115">
        <f t="shared" si="3"/>
        <v>0.9569718098661327</v>
      </c>
      <c r="E115">
        <f t="shared" si="3"/>
        <v>0.3126124201645617</v>
      </c>
      <c r="F115">
        <f t="shared" si="3"/>
        <v>-0.2775444234209834</v>
      </c>
      <c r="G115">
        <f t="shared" si="3"/>
        <v>0.022170269683628955</v>
      </c>
      <c r="H115">
        <f t="shared" si="3"/>
        <v>0.020995109216651767</v>
      </c>
      <c r="I115">
        <f t="shared" si="3"/>
        <v>-0.0020220872735953878</v>
      </c>
      <c r="J115">
        <f t="shared" si="1"/>
        <v>6.676032285734361</v>
      </c>
    </row>
    <row r="116" spans="1:10" ht="12.75">
      <c r="A116">
        <v>-65</v>
      </c>
      <c r="B116">
        <f t="shared" si="3"/>
        <v>7.5006</v>
      </c>
      <c r="C116">
        <f t="shared" si="3"/>
        <v>-2.2955356122969572</v>
      </c>
      <c r="D116">
        <f t="shared" si="3"/>
        <v>1.4611415613381795</v>
      </c>
      <c r="E116">
        <f t="shared" si="3"/>
        <v>0.589788028379781</v>
      </c>
      <c r="F116">
        <f t="shared" si="3"/>
        <v>-0.6470216378597834</v>
      </c>
      <c r="G116">
        <f t="shared" si="3"/>
        <v>0.06386366670939557</v>
      </c>
      <c r="H116">
        <f t="shared" si="3"/>
        <v>0.07473044815839676</v>
      </c>
      <c r="I116">
        <f t="shared" si="3"/>
        <v>-0.008893565730213791</v>
      </c>
      <c r="J116">
        <f t="shared" si="1"/>
        <v>6.738672888698798</v>
      </c>
    </row>
    <row r="117" spans="1:10" ht="12.75">
      <c r="A117">
        <v>-60</v>
      </c>
      <c r="B117">
        <f t="shared" si="3"/>
        <v>7.5006</v>
      </c>
      <c r="C117">
        <f t="shared" si="3"/>
        <v>-2.7158500000000005</v>
      </c>
      <c r="D117">
        <f t="shared" si="3"/>
        <v>2.045200000000001</v>
      </c>
      <c r="E117">
        <f t="shared" si="3"/>
        <v>0.9767000000000007</v>
      </c>
      <c r="F117">
        <f t="shared" si="3"/>
        <v>-1.267668750000001</v>
      </c>
      <c r="G117">
        <f t="shared" si="3"/>
        <v>0.14803437500000016</v>
      </c>
      <c r="H117">
        <f t="shared" si="3"/>
        <v>0.20494062500000026</v>
      </c>
      <c r="I117">
        <f t="shared" si="3"/>
        <v>-0.028855468750000043</v>
      </c>
      <c r="J117">
        <f t="shared" si="1"/>
        <v>6.86310078125</v>
      </c>
    </row>
    <row r="118" spans="1:10" ht="12.75">
      <c r="A118">
        <v>-55</v>
      </c>
      <c r="B118">
        <f t="shared" si="3"/>
        <v>7.5006</v>
      </c>
      <c r="C118">
        <f t="shared" si="3"/>
        <v>-3.1154951293279773</v>
      </c>
      <c r="D118">
        <f t="shared" si="3"/>
        <v>2.691400805740685</v>
      </c>
      <c r="E118">
        <f t="shared" si="3"/>
        <v>1.4744331232313348</v>
      </c>
      <c r="F118">
        <f t="shared" si="3"/>
        <v>-2.1952853161780688</v>
      </c>
      <c r="G118">
        <f t="shared" si="3"/>
        <v>0.2940824172991008</v>
      </c>
      <c r="H118">
        <f t="shared" si="3"/>
        <v>0.4670418935553933</v>
      </c>
      <c r="I118">
        <f t="shared" si="3"/>
        <v>-0.07543575004855715</v>
      </c>
      <c r="J118">
        <f t="shared" si="1"/>
        <v>7.041342044271912</v>
      </c>
    </row>
    <row r="119" spans="1:10" ht="12.75">
      <c r="A119">
        <v>-50</v>
      </c>
      <c r="B119">
        <f t="shared" si="3"/>
        <v>7.5006</v>
      </c>
      <c r="C119">
        <f t="shared" si="3"/>
        <v>-3.491429459534376</v>
      </c>
      <c r="D119">
        <f t="shared" si="3"/>
        <v>3.380109494071188</v>
      </c>
      <c r="E119">
        <f t="shared" si="3"/>
        <v>2.0751699265325354</v>
      </c>
      <c r="F119">
        <f t="shared" si="3"/>
        <v>-3.462547613465683</v>
      </c>
      <c r="G119">
        <f t="shared" si="3"/>
        <v>0.5198164710110442</v>
      </c>
      <c r="H119">
        <f t="shared" si="3"/>
        <v>0.9251518270238229</v>
      </c>
      <c r="I119">
        <f t="shared" si="3"/>
        <v>-0.16745980479540526</v>
      </c>
      <c r="J119">
        <f t="shared" si="1"/>
        <v>7.279410840843126</v>
      </c>
    </row>
    <row r="120" spans="1:10" ht="12.75">
      <c r="A120">
        <v>-45</v>
      </c>
      <c r="B120">
        <f t="shared" si="3"/>
        <v>7.5006</v>
      </c>
      <c r="C120">
        <f t="shared" si="3"/>
        <v>-3.8407919033709708</v>
      </c>
      <c r="D120">
        <f t="shared" si="3"/>
        <v>4.090400000000001</v>
      </c>
      <c r="E120">
        <f t="shared" si="3"/>
        <v>2.7625247727396047</v>
      </c>
      <c r="F120">
        <f t="shared" si="3"/>
        <v>-5.070675000000002</v>
      </c>
      <c r="G120">
        <f t="shared" si="3"/>
        <v>0.837408883289699</v>
      </c>
      <c r="H120">
        <f t="shared" si="3"/>
        <v>1.639525000000001</v>
      </c>
      <c r="I120">
        <f t="shared" si="3"/>
        <v>-0.32646236203906437</v>
      </c>
      <c r="J120">
        <f t="shared" si="1"/>
        <v>7.592529390619268</v>
      </c>
    </row>
    <row r="121" spans="1:10" ht="12.75">
      <c r="A121">
        <v>-40</v>
      </c>
      <c r="B121">
        <f t="shared" si="3"/>
        <v>7.5006</v>
      </c>
      <c r="C121">
        <f t="shared" si="3"/>
        <v>-4.160923601689353</v>
      </c>
      <c r="D121">
        <f t="shared" si="3"/>
        <v>4.800690505928811</v>
      </c>
      <c r="E121">
        <f t="shared" si="3"/>
        <v>3.512473645565835</v>
      </c>
      <c r="F121">
        <f t="shared" si="3"/>
        <v>-6.98460150663073</v>
      </c>
      <c r="G121">
        <f t="shared" si="3"/>
        <v>1.2496327125665114</v>
      </c>
      <c r="H121">
        <f t="shared" si="3"/>
        <v>2.650524540694127</v>
      </c>
      <c r="I121">
        <f t="shared" si="3"/>
        <v>-0.5717627648937753</v>
      </c>
      <c r="J121">
        <f t="shared" si="1"/>
        <v>7.996633531541428</v>
      </c>
    </row>
    <row r="122" spans="1:10" ht="12.75">
      <c r="A122">
        <v>-35</v>
      </c>
      <c r="B122">
        <f t="shared" si="3"/>
        <v>7.5006</v>
      </c>
      <c r="C122">
        <f t="shared" si="3"/>
        <v>-4.449388158964517</v>
      </c>
      <c r="D122">
        <f t="shared" si="3"/>
        <v>5.489399194259315</v>
      </c>
      <c r="E122">
        <f t="shared" si="3"/>
        <v>4.294817687239085</v>
      </c>
      <c r="F122">
        <f t="shared" si="3"/>
        <v>-9.132377277209606</v>
      </c>
      <c r="G122">
        <f t="shared" si="3"/>
        <v>1.7471699433067287</v>
      </c>
      <c r="H122">
        <f t="shared" si="3"/>
        <v>3.9627360596306787</v>
      </c>
      <c r="I122">
        <f t="shared" si="3"/>
        <v>-0.9140916448279218</v>
      </c>
      <c r="J122">
        <f t="shared" si="1"/>
        <v>8.498865803433763</v>
      </c>
    </row>
    <row r="123" spans="1:10" ht="12.75">
      <c r="A123">
        <v>-30</v>
      </c>
      <c r="B123">
        <f aca="true" t="shared" si="4" ref="B123:I132">B$92*COS($A123*PI()/180)^B$91</f>
        <v>7.5006</v>
      </c>
      <c r="C123">
        <f t="shared" si="4"/>
        <v>-4.703990185735936</v>
      </c>
      <c r="D123">
        <f t="shared" si="4"/>
        <v>6.135600000000001</v>
      </c>
      <c r="E123">
        <f t="shared" si="4"/>
        <v>5.075082071257569</v>
      </c>
      <c r="F123">
        <f t="shared" si="4"/>
        <v>-11.409018750000003</v>
      </c>
      <c r="G123">
        <f t="shared" si="4"/>
        <v>2.3076275289003374</v>
      </c>
      <c r="H123">
        <f t="shared" si="4"/>
        <v>5.533396875000003</v>
      </c>
      <c r="I123">
        <f t="shared" si="4"/>
        <v>-1.349436724682833</v>
      </c>
      <c r="J123">
        <f t="shared" si="1"/>
        <v>9.089860814739138</v>
      </c>
    </row>
    <row r="124" spans="1:10" ht="12.75">
      <c r="A124">
        <v>-25</v>
      </c>
      <c r="B124">
        <f t="shared" si="4"/>
        <v>7.5006</v>
      </c>
      <c r="C124">
        <f t="shared" si="4"/>
        <v>-4.922792006846971</v>
      </c>
      <c r="D124">
        <f t="shared" si="4"/>
        <v>6.71965843866182</v>
      </c>
      <c r="E124">
        <f t="shared" si="4"/>
        <v>5.81672201629544</v>
      </c>
      <c r="F124">
        <f t="shared" si="4"/>
        <v>-13.684489888848951</v>
      </c>
      <c r="G124">
        <f t="shared" si="4"/>
        <v>2.896617233490647</v>
      </c>
      <c r="H124">
        <f t="shared" si="4"/>
        <v>7.26879296637348</v>
      </c>
      <c r="I124">
        <f t="shared" si="4"/>
        <v>-1.8551032392728855</v>
      </c>
      <c r="J124">
        <f t="shared" si="1"/>
        <v>9.740005519852579</v>
      </c>
    </row>
    <row r="125" spans="1:10" ht="12.75">
      <c r="A125">
        <v>-20</v>
      </c>
      <c r="B125">
        <f t="shared" si="4"/>
        <v>7.5006</v>
      </c>
      <c r="C125">
        <f t="shared" si="4"/>
        <v>-5.104128408322819</v>
      </c>
      <c r="D125">
        <f t="shared" si="4"/>
        <v>7.223828190133868</v>
      </c>
      <c r="E125">
        <f t="shared" si="4"/>
        <v>6.483486696329581</v>
      </c>
      <c r="F125">
        <f t="shared" si="4"/>
        <v>-15.81499404987028</v>
      </c>
      <c r="G125">
        <f t="shared" si="4"/>
        <v>3.4708962723014536</v>
      </c>
      <c r="H125">
        <f t="shared" si="4"/>
        <v>9.030731476251471</v>
      </c>
      <c r="I125">
        <f t="shared" si="4"/>
        <v>-2.3896748806312</v>
      </c>
      <c r="J125">
        <f t="shared" si="1"/>
        <v>10.400745296192076</v>
      </c>
    </row>
    <row r="126" spans="1:10" ht="12.75">
      <c r="A126">
        <v>-15</v>
      </c>
      <c r="B126">
        <f t="shared" si="4"/>
        <v>7.5006</v>
      </c>
      <c r="C126">
        <f t="shared" si="4"/>
        <v>-5.246619310654332</v>
      </c>
      <c r="D126">
        <f t="shared" si="4"/>
        <v>7.6327903116398685</v>
      </c>
      <c r="E126">
        <f t="shared" si="4"/>
        <v>7.041780913589001</v>
      </c>
      <c r="F126">
        <f t="shared" si="4"/>
        <v>-17.65634797866932</v>
      </c>
      <c r="G126">
        <f t="shared" si="4"/>
        <v>3.983193855093037</v>
      </c>
      <c r="H126">
        <f t="shared" si="4"/>
        <v>10.652969875523809</v>
      </c>
      <c r="I126">
        <f t="shared" si="4"/>
        <v>-2.897640813438022</v>
      </c>
      <c r="J126">
        <f t="shared" si="1"/>
        <v>11.01072685308404</v>
      </c>
    </row>
    <row r="127" spans="1:10" ht="12.75">
      <c r="A127">
        <v>-10</v>
      </c>
      <c r="B127">
        <f t="shared" si="4"/>
        <v>7.5006</v>
      </c>
      <c r="C127">
        <f t="shared" si="4"/>
        <v>-5.349180272036411</v>
      </c>
      <c r="D127">
        <f t="shared" si="4"/>
        <v>7.934118696062678</v>
      </c>
      <c r="E127">
        <f t="shared" si="4"/>
        <v>7.4628644179546635</v>
      </c>
      <c r="F127">
        <f t="shared" si="4"/>
        <v>-19.077945463113327</v>
      </c>
      <c r="G127">
        <f t="shared" si="4"/>
        <v>4.388032622195232</v>
      </c>
      <c r="H127">
        <f t="shared" si="4"/>
        <v>11.96511243875952</v>
      </c>
      <c r="I127">
        <f t="shared" si="4"/>
        <v>-3.3181675829956077</v>
      </c>
      <c r="J127">
        <f t="shared" si="1"/>
        <v>11.505434856826747</v>
      </c>
    </row>
    <row r="128" spans="1:10" ht="12.75">
      <c r="A128">
        <v>-5</v>
      </c>
      <c r="B128">
        <f t="shared" si="4"/>
        <v>7.5006</v>
      </c>
      <c r="C128">
        <f t="shared" si="4"/>
        <v>-5.411030741624934</v>
      </c>
      <c r="D128">
        <f t="shared" si="4"/>
        <v>8.118657632921137</v>
      </c>
      <c r="E128">
        <f t="shared" si="4"/>
        <v>7.724739678830313</v>
      </c>
      <c r="F128">
        <f t="shared" si="4"/>
        <v>-19.97573054596215</v>
      </c>
      <c r="G128">
        <f t="shared" si="4"/>
        <v>4.64765286374032</v>
      </c>
      <c r="H128">
        <f t="shared" si="4"/>
        <v>12.819567883390974</v>
      </c>
      <c r="I128">
        <f t="shared" si="4"/>
        <v>-3.5962318701868408</v>
      </c>
      <c r="J128">
        <f t="shared" si="1"/>
        <v>11.828224901108818</v>
      </c>
    </row>
    <row r="129" spans="1:10" ht="12.75">
      <c r="A129">
        <v>0</v>
      </c>
      <c r="B129">
        <f t="shared" si="4"/>
        <v>7.5006</v>
      </c>
      <c r="C129">
        <f t="shared" si="4"/>
        <v>-5.4317</v>
      </c>
      <c r="D129">
        <f t="shared" si="4"/>
        <v>8.1808</v>
      </c>
      <c r="E129">
        <f t="shared" si="4"/>
        <v>7.8136</v>
      </c>
      <c r="F129">
        <f t="shared" si="4"/>
        <v>-20.2827</v>
      </c>
      <c r="G129">
        <f t="shared" si="4"/>
        <v>4.7371</v>
      </c>
      <c r="H129">
        <f t="shared" si="4"/>
        <v>13.1162</v>
      </c>
      <c r="I129">
        <f t="shared" si="4"/>
        <v>-3.6935</v>
      </c>
      <c r="J129">
        <f t="shared" si="1"/>
        <v>11.940400000000002</v>
      </c>
    </row>
    <row r="130" spans="1:10" ht="12.75">
      <c r="A130">
        <v>5</v>
      </c>
      <c r="B130">
        <f t="shared" si="4"/>
        <v>7.5006</v>
      </c>
      <c r="C130">
        <f t="shared" si="4"/>
        <v>-5.411030741624934</v>
      </c>
      <c r="D130">
        <f t="shared" si="4"/>
        <v>8.118657632921137</v>
      </c>
      <c r="E130">
        <f t="shared" si="4"/>
        <v>7.724739678830313</v>
      </c>
      <c r="F130">
        <f t="shared" si="4"/>
        <v>-19.97573054596215</v>
      </c>
      <c r="G130">
        <f t="shared" si="4"/>
        <v>4.64765286374032</v>
      </c>
      <c r="H130">
        <f t="shared" si="4"/>
        <v>12.819567883390974</v>
      </c>
      <c r="I130">
        <f t="shared" si="4"/>
        <v>-3.5962318701868408</v>
      </c>
      <c r="J130">
        <f t="shared" si="1"/>
        <v>11.828224901108818</v>
      </c>
    </row>
    <row r="131" spans="1:10" ht="12.75">
      <c r="A131">
        <v>10</v>
      </c>
      <c r="B131">
        <f t="shared" si="4"/>
        <v>7.5006</v>
      </c>
      <c r="C131">
        <f t="shared" si="4"/>
        <v>-5.349180272036411</v>
      </c>
      <c r="D131">
        <f t="shared" si="4"/>
        <v>7.934118696062678</v>
      </c>
      <c r="E131">
        <f t="shared" si="4"/>
        <v>7.4628644179546635</v>
      </c>
      <c r="F131">
        <f t="shared" si="4"/>
        <v>-19.077945463113327</v>
      </c>
      <c r="G131">
        <f t="shared" si="4"/>
        <v>4.388032622195232</v>
      </c>
      <c r="H131">
        <f t="shared" si="4"/>
        <v>11.96511243875952</v>
      </c>
      <c r="I131">
        <f t="shared" si="4"/>
        <v>-3.3181675829956077</v>
      </c>
      <c r="J131">
        <f t="shared" si="1"/>
        <v>11.505434856826747</v>
      </c>
    </row>
    <row r="132" spans="1:10" ht="12.75">
      <c r="A132">
        <v>15</v>
      </c>
      <c r="B132">
        <f t="shared" si="4"/>
        <v>7.5006</v>
      </c>
      <c r="C132">
        <f t="shared" si="4"/>
        <v>-5.246619310654332</v>
      </c>
      <c r="D132">
        <f t="shared" si="4"/>
        <v>7.6327903116398685</v>
      </c>
      <c r="E132">
        <f t="shared" si="4"/>
        <v>7.041780913589001</v>
      </c>
      <c r="F132">
        <f t="shared" si="4"/>
        <v>-17.65634797866932</v>
      </c>
      <c r="G132">
        <f t="shared" si="4"/>
        <v>3.983193855093037</v>
      </c>
      <c r="H132">
        <f t="shared" si="4"/>
        <v>10.652969875523809</v>
      </c>
      <c r="I132">
        <f t="shared" si="4"/>
        <v>-2.897640813438022</v>
      </c>
      <c r="J132">
        <f t="shared" si="1"/>
        <v>11.01072685308404</v>
      </c>
    </row>
    <row r="133" spans="1:10" ht="12.75">
      <c r="A133">
        <v>20</v>
      </c>
      <c r="B133">
        <f aca="true" t="shared" si="5" ref="B133:I142">B$92*COS($A133*PI()/180)^B$91</f>
        <v>7.5006</v>
      </c>
      <c r="C133">
        <f t="shared" si="5"/>
        <v>-5.104128408322819</v>
      </c>
      <c r="D133">
        <f t="shared" si="5"/>
        <v>7.223828190133868</v>
      </c>
      <c r="E133">
        <f t="shared" si="5"/>
        <v>6.483486696329581</v>
      </c>
      <c r="F133">
        <f t="shared" si="5"/>
        <v>-15.81499404987028</v>
      </c>
      <c r="G133">
        <f t="shared" si="5"/>
        <v>3.4708962723014536</v>
      </c>
      <c r="H133">
        <f t="shared" si="5"/>
        <v>9.030731476251471</v>
      </c>
      <c r="I133">
        <f t="shared" si="5"/>
        <v>-2.3896748806312</v>
      </c>
      <c r="J133">
        <f t="shared" si="1"/>
        <v>10.400745296192076</v>
      </c>
    </row>
    <row r="134" spans="1:10" ht="12.75">
      <c r="A134">
        <v>25</v>
      </c>
      <c r="B134">
        <f t="shared" si="5"/>
        <v>7.5006</v>
      </c>
      <c r="C134">
        <f t="shared" si="5"/>
        <v>-4.922792006846971</v>
      </c>
      <c r="D134">
        <f t="shared" si="5"/>
        <v>6.71965843866182</v>
      </c>
      <c r="E134">
        <f t="shared" si="5"/>
        <v>5.81672201629544</v>
      </c>
      <c r="F134">
        <f t="shared" si="5"/>
        <v>-13.684489888848951</v>
      </c>
      <c r="G134">
        <f t="shared" si="5"/>
        <v>2.896617233490647</v>
      </c>
      <c r="H134">
        <f t="shared" si="5"/>
        <v>7.26879296637348</v>
      </c>
      <c r="I134">
        <f t="shared" si="5"/>
        <v>-1.8551032392728855</v>
      </c>
      <c r="J134">
        <f t="shared" si="1"/>
        <v>9.740005519852579</v>
      </c>
    </row>
    <row r="135" spans="1:10" ht="12.75">
      <c r="A135">
        <v>30</v>
      </c>
      <c r="B135">
        <f t="shared" si="5"/>
        <v>7.5006</v>
      </c>
      <c r="C135">
        <f t="shared" si="5"/>
        <v>-4.703990185735936</v>
      </c>
      <c r="D135">
        <f t="shared" si="5"/>
        <v>6.135600000000001</v>
      </c>
      <c r="E135">
        <f t="shared" si="5"/>
        <v>5.075082071257569</v>
      </c>
      <c r="F135">
        <f t="shared" si="5"/>
        <v>-11.409018750000003</v>
      </c>
      <c r="G135">
        <f t="shared" si="5"/>
        <v>2.3076275289003374</v>
      </c>
      <c r="H135">
        <f t="shared" si="5"/>
        <v>5.533396875000003</v>
      </c>
      <c r="I135">
        <f t="shared" si="5"/>
        <v>-1.349436724682833</v>
      </c>
      <c r="J135">
        <f t="shared" si="1"/>
        <v>9.089860814739138</v>
      </c>
    </row>
    <row r="136" spans="1:10" ht="12.75">
      <c r="A136">
        <v>35</v>
      </c>
      <c r="B136">
        <f t="shared" si="5"/>
        <v>7.5006</v>
      </c>
      <c r="C136">
        <f t="shared" si="5"/>
        <v>-4.449388158964517</v>
      </c>
      <c r="D136">
        <f t="shared" si="5"/>
        <v>5.489399194259315</v>
      </c>
      <c r="E136">
        <f t="shared" si="5"/>
        <v>4.294817687239085</v>
      </c>
      <c r="F136">
        <f t="shared" si="5"/>
        <v>-9.132377277209606</v>
      </c>
      <c r="G136">
        <f t="shared" si="5"/>
        <v>1.7471699433067287</v>
      </c>
      <c r="H136">
        <f t="shared" si="5"/>
        <v>3.9627360596306787</v>
      </c>
      <c r="I136">
        <f t="shared" si="5"/>
        <v>-0.9140916448279218</v>
      </c>
      <c r="J136">
        <f t="shared" si="1"/>
        <v>8.498865803433763</v>
      </c>
    </row>
    <row r="137" spans="1:10" ht="12.75">
      <c r="A137">
        <v>40</v>
      </c>
      <c r="B137">
        <f t="shared" si="5"/>
        <v>7.5006</v>
      </c>
      <c r="C137">
        <f t="shared" si="5"/>
        <v>-4.160923601689353</v>
      </c>
      <c r="D137">
        <f t="shared" si="5"/>
        <v>4.800690505928811</v>
      </c>
      <c r="E137">
        <f t="shared" si="5"/>
        <v>3.512473645565835</v>
      </c>
      <c r="F137">
        <f t="shared" si="5"/>
        <v>-6.98460150663073</v>
      </c>
      <c r="G137">
        <f t="shared" si="5"/>
        <v>1.2496327125665114</v>
      </c>
      <c r="H137">
        <f t="shared" si="5"/>
        <v>2.650524540694127</v>
      </c>
      <c r="I137">
        <f t="shared" si="5"/>
        <v>-0.5717627648937753</v>
      </c>
      <c r="J137">
        <f t="shared" si="1"/>
        <v>7.996633531541428</v>
      </c>
    </row>
    <row r="138" spans="1:10" ht="12.75">
      <c r="A138">
        <v>45</v>
      </c>
      <c r="B138">
        <f t="shared" si="5"/>
        <v>7.5006</v>
      </c>
      <c r="C138">
        <f t="shared" si="5"/>
        <v>-3.8407919033709708</v>
      </c>
      <c r="D138">
        <f t="shared" si="5"/>
        <v>4.090400000000001</v>
      </c>
      <c r="E138">
        <f t="shared" si="5"/>
        <v>2.7625247727396047</v>
      </c>
      <c r="F138">
        <f t="shared" si="5"/>
        <v>-5.070675000000002</v>
      </c>
      <c r="G138">
        <f t="shared" si="5"/>
        <v>0.837408883289699</v>
      </c>
      <c r="H138">
        <f t="shared" si="5"/>
        <v>1.639525000000001</v>
      </c>
      <c r="I138">
        <f t="shared" si="5"/>
        <v>-0.32646236203906437</v>
      </c>
      <c r="J138">
        <f t="shared" si="1"/>
        <v>7.592529390619268</v>
      </c>
    </row>
    <row r="139" spans="1:10" ht="12.75">
      <c r="A139">
        <v>50</v>
      </c>
      <c r="B139">
        <f t="shared" si="5"/>
        <v>7.5006</v>
      </c>
      <c r="C139">
        <f t="shared" si="5"/>
        <v>-3.491429459534376</v>
      </c>
      <c r="D139">
        <f t="shared" si="5"/>
        <v>3.380109494071188</v>
      </c>
      <c r="E139">
        <f t="shared" si="5"/>
        <v>2.0751699265325354</v>
      </c>
      <c r="F139">
        <f t="shared" si="5"/>
        <v>-3.462547613465683</v>
      </c>
      <c r="G139">
        <f t="shared" si="5"/>
        <v>0.5198164710110442</v>
      </c>
      <c r="H139">
        <f t="shared" si="5"/>
        <v>0.9251518270238229</v>
      </c>
      <c r="I139">
        <f t="shared" si="5"/>
        <v>-0.16745980479540526</v>
      </c>
      <c r="J139">
        <f t="shared" si="1"/>
        <v>7.279410840843126</v>
      </c>
    </row>
    <row r="140" spans="1:10" ht="12.75">
      <c r="A140">
        <v>55</v>
      </c>
      <c r="B140">
        <f t="shared" si="5"/>
        <v>7.5006</v>
      </c>
      <c r="C140">
        <f t="shared" si="5"/>
        <v>-3.1154951293279773</v>
      </c>
      <c r="D140">
        <f t="shared" si="5"/>
        <v>2.691400805740685</v>
      </c>
      <c r="E140">
        <f t="shared" si="5"/>
        <v>1.4744331232313348</v>
      </c>
      <c r="F140">
        <f t="shared" si="5"/>
        <v>-2.1952853161780688</v>
      </c>
      <c r="G140">
        <f t="shared" si="5"/>
        <v>0.2940824172991008</v>
      </c>
      <c r="H140">
        <f t="shared" si="5"/>
        <v>0.4670418935553933</v>
      </c>
      <c r="I140">
        <f t="shared" si="5"/>
        <v>-0.07543575004855715</v>
      </c>
      <c r="J140">
        <f t="shared" si="1"/>
        <v>7.041342044271912</v>
      </c>
    </row>
    <row r="141" spans="1:10" ht="12.75">
      <c r="A141">
        <v>60</v>
      </c>
      <c r="B141">
        <f t="shared" si="5"/>
        <v>7.5006</v>
      </c>
      <c r="C141">
        <f t="shared" si="5"/>
        <v>-2.7158500000000005</v>
      </c>
      <c r="D141">
        <f t="shared" si="5"/>
        <v>2.045200000000001</v>
      </c>
      <c r="E141">
        <f t="shared" si="5"/>
        <v>0.9767000000000007</v>
      </c>
      <c r="F141">
        <f t="shared" si="5"/>
        <v>-1.267668750000001</v>
      </c>
      <c r="G141">
        <f t="shared" si="5"/>
        <v>0.14803437500000016</v>
      </c>
      <c r="H141">
        <f t="shared" si="5"/>
        <v>0.20494062500000026</v>
      </c>
      <c r="I141">
        <f t="shared" si="5"/>
        <v>-0.028855468750000043</v>
      </c>
      <c r="J141">
        <f t="shared" si="1"/>
        <v>6.86310078125</v>
      </c>
    </row>
    <row r="142" spans="1:10" ht="12.75">
      <c r="A142">
        <v>65</v>
      </c>
      <c r="B142">
        <f t="shared" si="5"/>
        <v>7.5006</v>
      </c>
      <c r="C142">
        <f t="shared" si="5"/>
        <v>-2.2955356122969572</v>
      </c>
      <c r="D142">
        <f t="shared" si="5"/>
        <v>1.4611415613381795</v>
      </c>
      <c r="E142">
        <f t="shared" si="5"/>
        <v>0.589788028379781</v>
      </c>
      <c r="F142">
        <f t="shared" si="5"/>
        <v>-0.6470216378597834</v>
      </c>
      <c r="G142">
        <f t="shared" si="5"/>
        <v>0.06386366670939557</v>
      </c>
      <c r="H142">
        <f t="shared" si="5"/>
        <v>0.07473044815839676</v>
      </c>
      <c r="I142">
        <f t="shared" si="5"/>
        <v>-0.008893565730213791</v>
      </c>
      <c r="J142">
        <f t="shared" si="1"/>
        <v>6.738672888698798</v>
      </c>
    </row>
    <row r="143" spans="1:10" ht="12.75">
      <c r="A143">
        <v>70</v>
      </c>
      <c r="B143">
        <f aca="true" t="shared" si="6" ref="B143:I152">B$92*COS($A143*PI()/180)^B$91</f>
        <v>7.5006</v>
      </c>
      <c r="C143">
        <f t="shared" si="6"/>
        <v>-1.8577508125020354</v>
      </c>
      <c r="D143">
        <f t="shared" si="6"/>
        <v>0.9569718098661327</v>
      </c>
      <c r="E143">
        <f t="shared" si="6"/>
        <v>0.3126124201645617</v>
      </c>
      <c r="F143">
        <f t="shared" si="6"/>
        <v>-0.2775444234209834</v>
      </c>
      <c r="G143">
        <f t="shared" si="6"/>
        <v>0.022170269683628955</v>
      </c>
      <c r="H143">
        <f t="shared" si="6"/>
        <v>0.020995109216651767</v>
      </c>
      <c r="I143">
        <f t="shared" si="6"/>
        <v>-0.0020220872735953878</v>
      </c>
      <c r="J143">
        <f t="shared" si="1"/>
        <v>6.676032285734361</v>
      </c>
    </row>
    <row r="144" spans="1:10" ht="12.75">
      <c r="A144">
        <v>75</v>
      </c>
      <c r="B144">
        <f t="shared" si="6"/>
        <v>7.5006</v>
      </c>
      <c r="C144">
        <f t="shared" si="6"/>
        <v>-1.4058274072833619</v>
      </c>
      <c r="D144">
        <f t="shared" si="6"/>
        <v>0.548009688360132</v>
      </c>
      <c r="E144">
        <f t="shared" si="6"/>
        <v>0.1354689817399902</v>
      </c>
      <c r="F144">
        <f t="shared" si="6"/>
        <v>-0.09101452133068308</v>
      </c>
      <c r="G144">
        <f t="shared" si="6"/>
        <v>0.0055016594669678115</v>
      </c>
      <c r="H144">
        <f t="shared" si="6"/>
        <v>0.003942624476193351</v>
      </c>
      <c r="I144">
        <f t="shared" si="6"/>
        <v>-0.0002873503413262286</v>
      </c>
      <c r="J144">
        <f t="shared" si="1"/>
        <v>6.696393675087913</v>
      </c>
    </row>
    <row r="145" spans="1:10" ht="12.75">
      <c r="A145">
        <v>80</v>
      </c>
      <c r="B145">
        <f t="shared" si="6"/>
        <v>7.5006</v>
      </c>
      <c r="C145">
        <f t="shared" si="6"/>
        <v>-0.943204806633466</v>
      </c>
      <c r="D145">
        <f t="shared" si="6"/>
        <v>0.24668130393732052</v>
      </c>
      <c r="E145">
        <f t="shared" si="6"/>
        <v>0.040913050763745275</v>
      </c>
      <c r="F145">
        <f t="shared" si="6"/>
        <v>-0.01844194349899001</v>
      </c>
      <c r="G145">
        <f t="shared" si="6"/>
        <v>0.0007479347349417768</v>
      </c>
      <c r="H145">
        <f t="shared" si="6"/>
        <v>0.00035960805440203293</v>
      </c>
      <c r="I145">
        <f t="shared" si="6"/>
        <v>-1.758448742372687E-05</v>
      </c>
      <c r="J145">
        <f t="shared" si="1"/>
        <v>6.82763756287053</v>
      </c>
    </row>
    <row r="146" spans="1:10" ht="12.75">
      <c r="A146">
        <v>85</v>
      </c>
      <c r="B146">
        <f t="shared" si="6"/>
        <v>7.5006</v>
      </c>
      <c r="C146">
        <f t="shared" si="6"/>
        <v>-0.4734038478824547</v>
      </c>
      <c r="D146">
        <f t="shared" si="6"/>
        <v>0.0621423670788641</v>
      </c>
      <c r="E146">
        <f t="shared" si="6"/>
        <v>0.005172960946562366</v>
      </c>
      <c r="F146">
        <f t="shared" si="6"/>
        <v>-0.0011703339414367926</v>
      </c>
      <c r="G146">
        <f t="shared" si="6"/>
        <v>2.3822788464195087E-05</v>
      </c>
      <c r="H146">
        <f t="shared" si="6"/>
        <v>5.748891077652451E-06</v>
      </c>
      <c r="I146">
        <f t="shared" si="6"/>
        <v>-1.4109452495168329E-07</v>
      </c>
      <c r="J146">
        <f t="shared" si="1"/>
        <v>7.093370576786553</v>
      </c>
    </row>
    <row r="147" spans="1:10" ht="12.75">
      <c r="A147">
        <v>90</v>
      </c>
      <c r="B147">
        <f t="shared" si="6"/>
        <v>7.5006</v>
      </c>
      <c r="C147">
        <f t="shared" si="6"/>
        <v>-3.3273194312635756E-16</v>
      </c>
      <c r="D147">
        <f t="shared" si="6"/>
        <v>3.069822164022695E-32</v>
      </c>
      <c r="E147">
        <f t="shared" si="6"/>
        <v>1.7960868685053244E-48</v>
      </c>
      <c r="F147">
        <f t="shared" si="6"/>
        <v>-2.8560160981091816E-64</v>
      </c>
      <c r="G147">
        <f t="shared" si="6"/>
        <v>4.0860733427153615E-81</v>
      </c>
      <c r="H147">
        <f t="shared" si="6"/>
        <v>6.930432791025993E-97</v>
      </c>
      <c r="I147">
        <f t="shared" si="6"/>
        <v>-1.1954988158420324E-113</v>
      </c>
      <c r="J147">
        <f t="shared" si="1"/>
        <v>7.5006</v>
      </c>
    </row>
    <row r="148" spans="1:10" ht="12.75">
      <c r="A148">
        <v>95</v>
      </c>
      <c r="B148">
        <f t="shared" si="6"/>
        <v>7.5006</v>
      </c>
      <c r="C148">
        <f t="shared" si="6"/>
        <v>0.47340384788245526</v>
      </c>
      <c r="D148">
        <f t="shared" si="6"/>
        <v>0.06214236707886424</v>
      </c>
      <c r="E148">
        <f t="shared" si="6"/>
        <v>-0.005172960946562382</v>
      </c>
      <c r="F148">
        <f t="shared" si="6"/>
        <v>-0.001170333941436798</v>
      </c>
      <c r="G148">
        <f t="shared" si="6"/>
        <v>-2.382278846419522E-05</v>
      </c>
      <c r="H148">
        <f t="shared" si="6"/>
        <v>5.7488910776524905E-06</v>
      </c>
      <c r="I148">
        <f t="shared" si="6"/>
        <v>1.410945249516844E-07</v>
      </c>
      <c r="J148">
        <f t="shared" si="1"/>
        <v>8.029784987270459</v>
      </c>
    </row>
    <row r="149" spans="1:10" ht="12.75">
      <c r="A149">
        <v>100</v>
      </c>
      <c r="B149">
        <f t="shared" si="6"/>
        <v>7.5006</v>
      </c>
      <c r="C149">
        <f t="shared" si="6"/>
        <v>0.9432048066334654</v>
      </c>
      <c r="D149">
        <f t="shared" si="6"/>
        <v>0.2466813039373202</v>
      </c>
      <c r="E149">
        <f t="shared" si="6"/>
        <v>-0.0409130507637452</v>
      </c>
      <c r="F149">
        <f t="shared" si="6"/>
        <v>-0.018441943498989963</v>
      </c>
      <c r="G149">
        <f t="shared" si="6"/>
        <v>-0.0007479347349417744</v>
      </c>
      <c r="H149">
        <f t="shared" si="6"/>
        <v>0.0003596080544020315</v>
      </c>
      <c r="I149">
        <f t="shared" si="6"/>
        <v>1.758448742372679E-05</v>
      </c>
      <c r="J149">
        <f t="shared" si="1"/>
        <v>8.630760374114935</v>
      </c>
    </row>
    <row r="150" spans="1:10" ht="12.75">
      <c r="A150">
        <v>105</v>
      </c>
      <c r="B150">
        <f t="shared" si="6"/>
        <v>7.5006</v>
      </c>
      <c r="C150">
        <f t="shared" si="6"/>
        <v>1.4058274072833625</v>
      </c>
      <c r="D150">
        <f t="shared" si="6"/>
        <v>0.5480096883601324</v>
      </c>
      <c r="E150">
        <f t="shared" si="6"/>
        <v>-0.13546898173999036</v>
      </c>
      <c r="F150">
        <f t="shared" si="6"/>
        <v>-0.09101452133068323</v>
      </c>
      <c r="G150">
        <f t="shared" si="6"/>
        <v>-0.005501659466967822</v>
      </c>
      <c r="H150">
        <f t="shared" si="6"/>
        <v>0.00394262447619336</v>
      </c>
      <c r="I150">
        <f t="shared" si="6"/>
        <v>0.0002873503413262294</v>
      </c>
      <c r="J150">
        <f t="shared" si="1"/>
        <v>9.226681907923375</v>
      </c>
    </row>
    <row r="151" spans="1:10" ht="12.75">
      <c r="A151">
        <v>110</v>
      </c>
      <c r="B151">
        <f t="shared" si="6"/>
        <v>7.5006</v>
      </c>
      <c r="C151">
        <f t="shared" si="6"/>
        <v>1.8577508125020348</v>
      </c>
      <c r="D151">
        <f t="shared" si="6"/>
        <v>0.9569718098661321</v>
      </c>
      <c r="E151">
        <f t="shared" si="6"/>
        <v>-0.31261242016456137</v>
      </c>
      <c r="F151">
        <f t="shared" si="6"/>
        <v>-0.277544423420983</v>
      </c>
      <c r="G151">
        <f t="shared" si="6"/>
        <v>-0.022170269683628917</v>
      </c>
      <c r="H151">
        <f t="shared" si="6"/>
        <v>0.020995109216651722</v>
      </c>
      <c r="I151">
        <f t="shared" si="6"/>
        <v>0.002022087273595383</v>
      </c>
      <c r="J151">
        <f t="shared" si="1"/>
        <v>9.726012705589241</v>
      </c>
    </row>
    <row r="152" spans="1:10" ht="12.75">
      <c r="A152">
        <v>115</v>
      </c>
      <c r="B152">
        <f t="shared" si="6"/>
        <v>7.5006</v>
      </c>
      <c r="C152">
        <f t="shared" si="6"/>
        <v>2.295535612296957</v>
      </c>
      <c r="D152">
        <f t="shared" si="6"/>
        <v>1.4611415613381786</v>
      </c>
      <c r="E152">
        <f t="shared" si="6"/>
        <v>-0.5897880283797804</v>
      </c>
      <c r="F152">
        <f t="shared" si="6"/>
        <v>-0.6470216378597826</v>
      </c>
      <c r="G152">
        <f t="shared" si="6"/>
        <v>-0.06386366670939549</v>
      </c>
      <c r="H152">
        <f t="shared" si="6"/>
        <v>0.07473044815839663</v>
      </c>
      <c r="I152">
        <f t="shared" si="6"/>
        <v>0.008893565730213772</v>
      </c>
      <c r="J152">
        <f t="shared" si="1"/>
        <v>10.040227854574788</v>
      </c>
    </row>
    <row r="153" spans="1:10" ht="12.75">
      <c r="A153">
        <v>120</v>
      </c>
      <c r="B153">
        <f aca="true" t="shared" si="7" ref="B153:I165">B$92*COS($A153*PI()/180)^B$91</f>
        <v>7.5006</v>
      </c>
      <c r="C153">
        <f t="shared" si="7"/>
        <v>2.7158499999999988</v>
      </c>
      <c r="D153">
        <f t="shared" si="7"/>
        <v>2.045199999999998</v>
      </c>
      <c r="E153">
        <f t="shared" si="7"/>
        <v>-0.9766999999999987</v>
      </c>
      <c r="F153">
        <f t="shared" si="7"/>
        <v>-1.2676687499999977</v>
      </c>
      <c r="G153">
        <f t="shared" si="7"/>
        <v>-0.14803437499999966</v>
      </c>
      <c r="H153">
        <f t="shared" si="7"/>
        <v>0.20494062499999943</v>
      </c>
      <c r="I153">
        <f t="shared" si="7"/>
        <v>0.028855468749999908</v>
      </c>
      <c r="J153">
        <f t="shared" si="1"/>
        <v>10.10304296875</v>
      </c>
    </row>
    <row r="154" spans="1:10" ht="12.75">
      <c r="A154">
        <v>125</v>
      </c>
      <c r="B154">
        <f t="shared" si="7"/>
        <v>7.5006</v>
      </c>
      <c r="C154">
        <f t="shared" si="7"/>
        <v>3.1154951293279756</v>
      </c>
      <c r="D154">
        <f t="shared" si="7"/>
        <v>2.691400805740682</v>
      </c>
      <c r="E154">
        <f t="shared" si="7"/>
        <v>-1.4744331232313324</v>
      </c>
      <c r="F154">
        <f t="shared" si="7"/>
        <v>-2.1952853161780634</v>
      </c>
      <c r="G154">
        <f t="shared" si="7"/>
        <v>-0.2940824172990999</v>
      </c>
      <c r="H154">
        <f t="shared" si="7"/>
        <v>0.4670418935553916</v>
      </c>
      <c r="I154">
        <f t="shared" si="7"/>
        <v>0.07543575004855683</v>
      </c>
      <c r="J154">
        <f t="shared" si="1"/>
        <v>9.886172721964112</v>
      </c>
    </row>
    <row r="155" spans="1:10" ht="12.75">
      <c r="A155">
        <v>130</v>
      </c>
      <c r="B155">
        <f t="shared" si="7"/>
        <v>7.5006</v>
      </c>
      <c r="C155">
        <f t="shared" si="7"/>
        <v>3.491429459534376</v>
      </c>
      <c r="D155">
        <f t="shared" si="7"/>
        <v>3.380109494071188</v>
      </c>
      <c r="E155">
        <f t="shared" si="7"/>
        <v>-2.0751699265325354</v>
      </c>
      <c r="F155">
        <f t="shared" si="7"/>
        <v>-3.462547613465683</v>
      </c>
      <c r="G155">
        <f t="shared" si="7"/>
        <v>-0.5198164710110442</v>
      </c>
      <c r="H155">
        <f t="shared" si="7"/>
        <v>0.9251518270238229</v>
      </c>
      <c r="I155">
        <f t="shared" si="7"/>
        <v>0.16745980479540526</v>
      </c>
      <c r="J155">
        <f t="shared" si="1"/>
        <v>9.40721657441553</v>
      </c>
    </row>
    <row r="156" spans="1:10" ht="12.75">
      <c r="A156">
        <v>135</v>
      </c>
      <c r="B156">
        <f t="shared" si="7"/>
        <v>7.5006</v>
      </c>
      <c r="C156">
        <f t="shared" si="7"/>
        <v>3.84079190337097</v>
      </c>
      <c r="D156">
        <f t="shared" si="7"/>
        <v>4.090399999999999</v>
      </c>
      <c r="E156">
        <f t="shared" si="7"/>
        <v>-2.7625247727396034</v>
      </c>
      <c r="F156">
        <f t="shared" si="7"/>
        <v>-5.070674999999997</v>
      </c>
      <c r="G156">
        <f t="shared" si="7"/>
        <v>-0.8374088832896981</v>
      </c>
      <c r="H156">
        <f t="shared" si="7"/>
        <v>1.6395249999999988</v>
      </c>
      <c r="I156">
        <f t="shared" si="7"/>
        <v>0.3264623620390639</v>
      </c>
      <c r="J156">
        <f t="shared" si="1"/>
        <v>8.727170609380735</v>
      </c>
    </row>
    <row r="157" spans="1:10" ht="12.75">
      <c r="A157">
        <v>140</v>
      </c>
      <c r="B157">
        <f t="shared" si="7"/>
        <v>7.5006</v>
      </c>
      <c r="C157">
        <f t="shared" si="7"/>
        <v>4.160923601689352</v>
      </c>
      <c r="D157">
        <f t="shared" si="7"/>
        <v>4.800690505928809</v>
      </c>
      <c r="E157">
        <f t="shared" si="7"/>
        <v>-3.512473645565833</v>
      </c>
      <c r="F157">
        <f t="shared" si="7"/>
        <v>-6.9846015066307245</v>
      </c>
      <c r="G157">
        <f t="shared" si="7"/>
        <v>-1.24963271256651</v>
      </c>
      <c r="H157">
        <f t="shared" si="7"/>
        <v>2.650524540694124</v>
      </c>
      <c r="I157">
        <f t="shared" si="7"/>
        <v>0.5717627648937745</v>
      </c>
      <c r="J157">
        <f t="shared" si="1"/>
        <v>7.937793548442993</v>
      </c>
    </row>
    <row r="158" spans="1:10" ht="12.75">
      <c r="A158">
        <v>145</v>
      </c>
      <c r="B158">
        <f t="shared" si="7"/>
        <v>7.5006</v>
      </c>
      <c r="C158">
        <f t="shared" si="7"/>
        <v>4.449388158964516</v>
      </c>
      <c r="D158">
        <f t="shared" si="7"/>
        <v>5.489399194259312</v>
      </c>
      <c r="E158">
        <f t="shared" si="7"/>
        <v>-4.294817687239082</v>
      </c>
      <c r="F158">
        <f t="shared" si="7"/>
        <v>-9.132377277209597</v>
      </c>
      <c r="G158">
        <f t="shared" si="7"/>
        <v>-1.7471699433067267</v>
      </c>
      <c r="H158">
        <f t="shared" si="7"/>
        <v>3.962736059630673</v>
      </c>
      <c r="I158">
        <f t="shared" si="7"/>
        <v>0.9140916448279202</v>
      </c>
      <c r="J158">
        <f aca="true" t="shared" si="8" ref="J158:J165">SUM(B158:I158)</f>
        <v>7.141850149927016</v>
      </c>
    </row>
    <row r="159" spans="1:10" ht="12.75">
      <c r="A159">
        <v>150</v>
      </c>
      <c r="B159">
        <f t="shared" si="7"/>
        <v>7.5006</v>
      </c>
      <c r="C159">
        <f t="shared" si="7"/>
        <v>4.703990185735936</v>
      </c>
      <c r="D159">
        <f t="shared" si="7"/>
        <v>6.135600000000001</v>
      </c>
      <c r="E159">
        <f t="shared" si="7"/>
        <v>-5.075082071257569</v>
      </c>
      <c r="F159">
        <f t="shared" si="7"/>
        <v>-11.409018750000003</v>
      </c>
      <c r="G159">
        <f t="shared" si="7"/>
        <v>-2.3076275289003374</v>
      </c>
      <c r="H159">
        <f t="shared" si="7"/>
        <v>5.533396875000003</v>
      </c>
      <c r="I159">
        <f t="shared" si="7"/>
        <v>1.349436724682833</v>
      </c>
      <c r="J159">
        <f t="shared" si="8"/>
        <v>6.431295435260865</v>
      </c>
    </row>
    <row r="160" spans="1:10" ht="12.75">
      <c r="A160">
        <v>155</v>
      </c>
      <c r="B160">
        <f t="shared" si="7"/>
        <v>7.5006</v>
      </c>
      <c r="C160">
        <f t="shared" si="7"/>
        <v>4.922792006846971</v>
      </c>
      <c r="D160">
        <f t="shared" si="7"/>
        <v>6.71965843866182</v>
      </c>
      <c r="E160">
        <f t="shared" si="7"/>
        <v>-5.81672201629544</v>
      </c>
      <c r="F160">
        <f t="shared" si="7"/>
        <v>-13.684489888848951</v>
      </c>
      <c r="G160">
        <f t="shared" si="7"/>
        <v>-2.896617233490647</v>
      </c>
      <c r="H160">
        <f t="shared" si="7"/>
        <v>7.26879296637348</v>
      </c>
      <c r="I160">
        <f t="shared" si="7"/>
        <v>1.8551032392728855</v>
      </c>
      <c r="J160">
        <f t="shared" si="8"/>
        <v>5.86911751252012</v>
      </c>
    </row>
    <row r="161" spans="1:10" ht="12.75">
      <c r="A161">
        <v>160</v>
      </c>
      <c r="B161">
        <f t="shared" si="7"/>
        <v>7.5006</v>
      </c>
      <c r="C161">
        <f t="shared" si="7"/>
        <v>5.1041284083228184</v>
      </c>
      <c r="D161">
        <f t="shared" si="7"/>
        <v>7.223828190133866</v>
      </c>
      <c r="E161">
        <f t="shared" si="7"/>
        <v>-6.483486696329579</v>
      </c>
      <c r="F161">
        <f t="shared" si="7"/>
        <v>-15.814994049870272</v>
      </c>
      <c r="G161">
        <f t="shared" si="7"/>
        <v>-3.4708962723014514</v>
      </c>
      <c r="H161">
        <f t="shared" si="7"/>
        <v>9.030731476251464</v>
      </c>
      <c r="I161">
        <f t="shared" si="7"/>
        <v>2.3896748806311976</v>
      </c>
      <c r="J161">
        <f t="shared" si="8"/>
        <v>5.479585936838046</v>
      </c>
    </row>
    <row r="162" spans="1:10" ht="12.75">
      <c r="A162">
        <v>165</v>
      </c>
      <c r="B162">
        <f t="shared" si="7"/>
        <v>7.5006</v>
      </c>
      <c r="C162">
        <f t="shared" si="7"/>
        <v>5.2466193106543315</v>
      </c>
      <c r="D162">
        <f t="shared" si="7"/>
        <v>7.632790311639867</v>
      </c>
      <c r="E162">
        <f t="shared" si="7"/>
        <v>-7.041780913588998</v>
      </c>
      <c r="F162">
        <f t="shared" si="7"/>
        <v>-17.65634797866931</v>
      </c>
      <c r="G162">
        <f t="shared" si="7"/>
        <v>-3.9831938550930346</v>
      </c>
      <c r="H162">
        <f t="shared" si="7"/>
        <v>10.652969875523802</v>
      </c>
      <c r="I162">
        <f t="shared" si="7"/>
        <v>2.897640813438019</v>
      </c>
      <c r="J162">
        <f t="shared" si="8"/>
        <v>5.249297563904679</v>
      </c>
    </row>
    <row r="163" spans="1:10" ht="12.75">
      <c r="A163">
        <v>170</v>
      </c>
      <c r="B163">
        <f t="shared" si="7"/>
        <v>7.5006</v>
      </c>
      <c r="C163">
        <f t="shared" si="7"/>
        <v>5.349180272036411</v>
      </c>
      <c r="D163">
        <f t="shared" si="7"/>
        <v>7.934118696062678</v>
      </c>
      <c r="E163">
        <f t="shared" si="7"/>
        <v>-7.4628644179546635</v>
      </c>
      <c r="F163">
        <f t="shared" si="7"/>
        <v>-19.077945463113327</v>
      </c>
      <c r="G163">
        <f t="shared" si="7"/>
        <v>-4.388032622195232</v>
      </c>
      <c r="H163">
        <f t="shared" si="7"/>
        <v>11.96511243875952</v>
      </c>
      <c r="I163">
        <f t="shared" si="7"/>
        <v>3.3181675829956077</v>
      </c>
      <c r="J163">
        <f t="shared" si="8"/>
        <v>5.1383364865909975</v>
      </c>
    </row>
    <row r="164" spans="1:10" ht="12.75">
      <c r="A164">
        <v>175</v>
      </c>
      <c r="B164">
        <f t="shared" si="7"/>
        <v>7.5006</v>
      </c>
      <c r="C164">
        <f t="shared" si="7"/>
        <v>5.411030741624934</v>
      </c>
      <c r="D164">
        <f t="shared" si="7"/>
        <v>8.118657632921137</v>
      </c>
      <c r="E164">
        <f t="shared" si="7"/>
        <v>-7.724739678830313</v>
      </c>
      <c r="F164">
        <f t="shared" si="7"/>
        <v>-19.97573054596215</v>
      </c>
      <c r="G164">
        <f t="shared" si="7"/>
        <v>-4.64765286374032</v>
      </c>
      <c r="H164">
        <f t="shared" si="7"/>
        <v>12.819567883390974</v>
      </c>
      <c r="I164">
        <f t="shared" si="7"/>
        <v>3.5962318701868408</v>
      </c>
      <c r="J164">
        <f t="shared" si="8"/>
        <v>5.097965039591102</v>
      </c>
    </row>
    <row r="165" spans="1:10" ht="12.75">
      <c r="A165">
        <v>180</v>
      </c>
      <c r="B165">
        <f t="shared" si="7"/>
        <v>7.5006</v>
      </c>
      <c r="C165">
        <f t="shared" si="7"/>
        <v>5.4317</v>
      </c>
      <c r="D165">
        <f t="shared" si="7"/>
        <v>8.1808</v>
      </c>
      <c r="E165">
        <f t="shared" si="7"/>
        <v>-7.8136</v>
      </c>
      <c r="F165">
        <f t="shared" si="7"/>
        <v>-20.2827</v>
      </c>
      <c r="G165">
        <f t="shared" si="7"/>
        <v>-4.7371</v>
      </c>
      <c r="H165">
        <f t="shared" si="7"/>
        <v>13.1162</v>
      </c>
      <c r="I165">
        <f t="shared" si="7"/>
        <v>3.6935</v>
      </c>
      <c r="J165">
        <f t="shared" si="8"/>
        <v>5.089400000000003</v>
      </c>
    </row>
    <row r="166" spans="1:3" ht="12.75">
      <c r="A166" t="s">
        <v>311</v>
      </c>
      <c r="B166" t="s">
        <v>306</v>
      </c>
      <c r="C166" t="s">
        <v>307</v>
      </c>
    </row>
    <row r="167" spans="1:10" ht="12.75">
      <c r="A167" t="s">
        <v>309</v>
      </c>
      <c r="B167">
        <v>0</v>
      </c>
      <c r="C167">
        <v>1</v>
      </c>
      <c r="D167">
        <v>2</v>
      </c>
      <c r="E167">
        <v>3</v>
      </c>
      <c r="F167">
        <v>4</v>
      </c>
      <c r="G167">
        <v>5</v>
      </c>
      <c r="H167">
        <v>6</v>
      </c>
      <c r="I167">
        <v>7</v>
      </c>
      <c r="J167" t="s">
        <v>310</v>
      </c>
    </row>
    <row r="168" spans="1:9" ht="12.75">
      <c r="A168" t="s">
        <v>308</v>
      </c>
      <c r="B168">
        <v>3.5663</v>
      </c>
      <c r="C168">
        <v>-6.8616</v>
      </c>
      <c r="D168">
        <v>2.2128</v>
      </c>
      <c r="E168">
        <v>9.3309</v>
      </c>
      <c r="F168">
        <v>-6.3254</v>
      </c>
      <c r="G168">
        <v>1.19</v>
      </c>
      <c r="H168">
        <v>4.5396</v>
      </c>
      <c r="I168">
        <v>-0.8555</v>
      </c>
    </row>
    <row r="169" spans="1:10" ht="12.75">
      <c r="A169">
        <v>-180</v>
      </c>
      <c r="B169">
        <f aca="true" t="shared" si="9" ref="B169:I178">B$168*COS($A169*PI()/180)^B$167</f>
        <v>3.5663</v>
      </c>
      <c r="C169">
        <f t="shared" si="9"/>
        <v>6.8616</v>
      </c>
      <c r="D169">
        <f t="shared" si="9"/>
        <v>2.2128</v>
      </c>
      <c r="E169">
        <f t="shared" si="9"/>
        <v>-9.3309</v>
      </c>
      <c r="F169">
        <f t="shared" si="9"/>
        <v>-6.3254</v>
      </c>
      <c r="G169">
        <f t="shared" si="9"/>
        <v>-1.19</v>
      </c>
      <c r="H169">
        <f t="shared" si="9"/>
        <v>4.5396</v>
      </c>
      <c r="I169">
        <f t="shared" si="9"/>
        <v>0.8555</v>
      </c>
      <c r="J169">
        <f>SUM(B169:I169)</f>
        <v>1.1895000000000016</v>
      </c>
    </row>
    <row r="170" spans="1:10" ht="12.75">
      <c r="A170">
        <v>-175</v>
      </c>
      <c r="B170">
        <f t="shared" si="9"/>
        <v>3.5663</v>
      </c>
      <c r="C170">
        <f t="shared" si="9"/>
        <v>6.835489540426321</v>
      </c>
      <c r="D170">
        <f t="shared" si="9"/>
        <v>2.195991297932707</v>
      </c>
      <c r="E170">
        <f t="shared" si="9"/>
        <v>-9.224784154448368</v>
      </c>
      <c r="F170">
        <f t="shared" si="9"/>
        <v>-6.229667943391609</v>
      </c>
      <c r="G170">
        <f t="shared" si="9"/>
        <v>-1.1675301150178339</v>
      </c>
      <c r="H170">
        <f t="shared" si="9"/>
        <v>4.4369337432672316</v>
      </c>
      <c r="I170">
        <f t="shared" si="9"/>
        <v>0.8329704521307276</v>
      </c>
      <c r="J170">
        <f aca="true" t="shared" si="10" ref="J170:J233">SUM(B170:I170)</f>
        <v>1.2457028208991763</v>
      </c>
    </row>
    <row r="171" spans="1:10" ht="12.75">
      <c r="A171">
        <v>-170</v>
      </c>
      <c r="B171">
        <f t="shared" si="9"/>
        <v>3.5663</v>
      </c>
      <c r="C171">
        <f t="shared" si="9"/>
        <v>6.757356878068567</v>
      </c>
      <c r="D171">
        <f t="shared" si="9"/>
        <v>2.146075915637529</v>
      </c>
      <c r="E171">
        <f t="shared" si="9"/>
        <v>-8.912056106979263</v>
      </c>
      <c r="F171">
        <f t="shared" si="9"/>
        <v>-5.94968304182269</v>
      </c>
      <c r="G171">
        <f t="shared" si="9"/>
        <v>-1.1023112918056037</v>
      </c>
      <c r="H171">
        <f t="shared" si="9"/>
        <v>4.141201295115409</v>
      </c>
      <c r="I171">
        <f t="shared" si="9"/>
        <v>0.7685643338981298</v>
      </c>
      <c r="J171">
        <f t="shared" si="10"/>
        <v>1.4154479821120798</v>
      </c>
    </row>
    <row r="172" spans="1:10" ht="12.75">
      <c r="A172">
        <v>-165</v>
      </c>
      <c r="B172">
        <f t="shared" si="9"/>
        <v>3.5663</v>
      </c>
      <c r="C172">
        <f t="shared" si="9"/>
        <v>6.62779664966507</v>
      </c>
      <c r="D172">
        <f t="shared" si="9"/>
        <v>2.0645705067471027</v>
      </c>
      <c r="E172">
        <f t="shared" si="9"/>
        <v>-8.409203635533888</v>
      </c>
      <c r="F172">
        <f t="shared" si="9"/>
        <v>-5.506341044549043</v>
      </c>
      <c r="G172">
        <f t="shared" si="9"/>
        <v>-1.0006123340357416</v>
      </c>
      <c r="H172">
        <f t="shared" si="9"/>
        <v>3.6870604326655476</v>
      </c>
      <c r="I172">
        <f t="shared" si="9"/>
        <v>0.6711606107746652</v>
      </c>
      <c r="J172">
        <f t="shared" si="10"/>
        <v>1.700731185733713</v>
      </c>
    </row>
    <row r="173" spans="1:10" ht="12.75">
      <c r="A173">
        <v>-160</v>
      </c>
      <c r="B173">
        <f t="shared" si="9"/>
        <v>3.5663</v>
      </c>
      <c r="C173">
        <f t="shared" si="9"/>
        <v>6.447794886784589</v>
      </c>
      <c r="D173">
        <f t="shared" si="9"/>
        <v>1.953951571866837</v>
      </c>
      <c r="E173">
        <f t="shared" si="9"/>
        <v>-7.742495906468422</v>
      </c>
      <c r="F173">
        <f t="shared" si="9"/>
        <v>-4.93209303312919</v>
      </c>
      <c r="G173">
        <f t="shared" si="9"/>
        <v>-0.871918803495541</v>
      </c>
      <c r="H173">
        <f t="shared" si="9"/>
        <v>3.1255934348051375</v>
      </c>
      <c r="I173">
        <f t="shared" si="9"/>
        <v>0.5535039557005522</v>
      </c>
      <c r="J173">
        <f t="shared" si="10"/>
        <v>2.1006361060639622</v>
      </c>
    </row>
    <row r="174" spans="1:10" ht="12.75">
      <c r="A174">
        <v>-155</v>
      </c>
      <c r="B174">
        <f t="shared" si="9"/>
        <v>3.5663</v>
      </c>
      <c r="C174">
        <f t="shared" si="9"/>
        <v>6.218721511530678</v>
      </c>
      <c r="D174">
        <f t="shared" si="9"/>
        <v>1.817580211357187</v>
      </c>
      <c r="E174">
        <f t="shared" si="9"/>
        <v>-6.946254154531985</v>
      </c>
      <c r="F174">
        <f t="shared" si="9"/>
        <v>-4.267670100278817</v>
      </c>
      <c r="G174">
        <f t="shared" si="9"/>
        <v>-0.727655001552399</v>
      </c>
      <c r="H174">
        <f t="shared" si="9"/>
        <v>2.5157753427173306</v>
      </c>
      <c r="I174">
        <f t="shared" si="9"/>
        <v>0.4296848033566952</v>
      </c>
      <c r="J174">
        <f t="shared" si="10"/>
        <v>2.6064826125986897</v>
      </c>
    </row>
    <row r="175" spans="1:10" ht="12.75">
      <c r="A175">
        <v>-150</v>
      </c>
      <c r="B175">
        <f t="shared" si="9"/>
        <v>3.5663</v>
      </c>
      <c r="C175">
        <f t="shared" si="9"/>
        <v>5.942319910607305</v>
      </c>
      <c r="D175">
        <f t="shared" si="9"/>
        <v>1.6596000000000004</v>
      </c>
      <c r="E175">
        <f t="shared" si="9"/>
        <v>-6.060597330129165</v>
      </c>
      <c r="F175">
        <f t="shared" si="9"/>
        <v>-3.5580375000000015</v>
      </c>
      <c r="G175">
        <f t="shared" si="9"/>
        <v>-0.5796957546582089</v>
      </c>
      <c r="H175">
        <f t="shared" si="9"/>
        <v>1.915143750000001</v>
      </c>
      <c r="I175">
        <f t="shared" si="9"/>
        <v>0.31256074670804485</v>
      </c>
      <c r="J175">
        <f t="shared" si="10"/>
        <v>3.1975938225279754</v>
      </c>
    </row>
    <row r="176" spans="1:10" ht="12.75">
      <c r="A176">
        <v>-145</v>
      </c>
      <c r="B176">
        <f t="shared" si="9"/>
        <v>3.5663</v>
      </c>
      <c r="C176">
        <f t="shared" si="9"/>
        <v>5.620693667093344</v>
      </c>
      <c r="D176">
        <f t="shared" si="9"/>
        <v>1.484811086575519</v>
      </c>
      <c r="E176">
        <f t="shared" si="9"/>
        <v>-5.128815700555333</v>
      </c>
      <c r="F176">
        <f t="shared" si="9"/>
        <v>-2.8480399172329913</v>
      </c>
      <c r="G176">
        <f t="shared" si="9"/>
        <v>-0.4389040198718635</v>
      </c>
      <c r="H176">
        <f t="shared" si="9"/>
        <v>1.3715280810218968</v>
      </c>
      <c r="I176">
        <f t="shared" si="9"/>
        <v>0.2117247602951904</v>
      </c>
      <c r="J176">
        <f t="shared" si="10"/>
        <v>3.8392979573257615</v>
      </c>
    </row>
    <row r="177" spans="1:10" ht="12.75">
      <c r="A177">
        <v>-140</v>
      </c>
      <c r="B177">
        <f t="shared" si="9"/>
        <v>3.5663</v>
      </c>
      <c r="C177">
        <f t="shared" si="9"/>
        <v>5.256290550905179</v>
      </c>
      <c r="D177">
        <f t="shared" si="9"/>
        <v>1.2985243437706913</v>
      </c>
      <c r="E177">
        <f t="shared" si="9"/>
        <v>-4.194550570724152</v>
      </c>
      <c r="F177">
        <f t="shared" si="9"/>
        <v>-2.1782306285673005</v>
      </c>
      <c r="G177">
        <f t="shared" si="9"/>
        <v>-0.3139184158987876</v>
      </c>
      <c r="H177">
        <f t="shared" si="9"/>
        <v>0.9173633525666768</v>
      </c>
      <c r="I177">
        <f t="shared" si="9"/>
        <v>0.1324334764766818</v>
      </c>
      <c r="J177">
        <f t="shared" si="10"/>
        <v>4.484212108528989</v>
      </c>
    </row>
    <row r="178" spans="1:10" ht="12.75">
      <c r="A178">
        <v>-135</v>
      </c>
      <c r="B178">
        <f t="shared" si="9"/>
        <v>3.5663</v>
      </c>
      <c r="C178">
        <f t="shared" si="9"/>
        <v>4.851883889789614</v>
      </c>
      <c r="D178">
        <f t="shared" si="9"/>
        <v>1.1063999999999998</v>
      </c>
      <c r="E178">
        <f t="shared" si="9"/>
        <v>-3.298971332286777</v>
      </c>
      <c r="F178">
        <f t="shared" si="9"/>
        <v>-1.5813499999999994</v>
      </c>
      <c r="G178">
        <f t="shared" si="9"/>
        <v>-0.21036426740299777</v>
      </c>
      <c r="H178">
        <f t="shared" si="9"/>
        <v>0.5674499999999997</v>
      </c>
      <c r="I178">
        <f t="shared" si="9"/>
        <v>0.07561623141313638</v>
      </c>
      <c r="J178">
        <f t="shared" si="10"/>
        <v>5.076964521512976</v>
      </c>
    </row>
    <row r="179" spans="1:10" ht="12.75">
      <c r="A179">
        <v>-130</v>
      </c>
      <c r="B179">
        <f aca="true" t="shared" si="11" ref="B179:I188">B$168*COS($A179*PI()/180)^B$167</f>
        <v>3.5663</v>
      </c>
      <c r="C179">
        <f t="shared" si="11"/>
        <v>4.4105514626251585</v>
      </c>
      <c r="D179">
        <f t="shared" si="11"/>
        <v>0.9142756562293084</v>
      </c>
      <c r="E179">
        <f t="shared" si="11"/>
        <v>-2.4781410703750426</v>
      </c>
      <c r="F179">
        <f t="shared" si="11"/>
        <v>-1.0798364455529015</v>
      </c>
      <c r="G179">
        <f t="shared" si="11"/>
        <v>-0.1305823395121789</v>
      </c>
      <c r="H179">
        <f t="shared" si="11"/>
        <v>0.32020091443843085</v>
      </c>
      <c r="I179">
        <f t="shared" si="11"/>
        <v>0.038787562746032005</v>
      </c>
      <c r="J179">
        <f t="shared" si="10"/>
        <v>5.5615557405988065</v>
      </c>
    </row>
    <row r="180" spans="1:10" ht="12.75">
      <c r="A180">
        <v>-125</v>
      </c>
      <c r="B180">
        <f t="shared" si="11"/>
        <v>3.5663</v>
      </c>
      <c r="C180">
        <f t="shared" si="11"/>
        <v>3.935652075666336</v>
      </c>
      <c r="D180">
        <f t="shared" si="11"/>
        <v>0.7279889134244795</v>
      </c>
      <c r="E180">
        <f t="shared" si="11"/>
        <v>-1.7607489543308126</v>
      </c>
      <c r="F180">
        <f t="shared" si="11"/>
        <v>-0.6846257026408084</v>
      </c>
      <c r="G180">
        <f t="shared" si="11"/>
        <v>-0.07387601625170016</v>
      </c>
      <c r="H180">
        <f t="shared" si="11"/>
        <v>0.16164616123450817</v>
      </c>
      <c r="I180">
        <f t="shared" si="11"/>
        <v>0.017472663914049107</v>
      </c>
      <c r="J180">
        <f t="shared" si="10"/>
        <v>5.889809141016052</v>
      </c>
    </row>
    <row r="181" spans="1:10" ht="12.75">
      <c r="A181">
        <v>-120</v>
      </c>
      <c r="B181">
        <f t="shared" si="11"/>
        <v>3.5663</v>
      </c>
      <c r="C181">
        <f t="shared" si="11"/>
        <v>3.4307999999999987</v>
      </c>
      <c r="D181">
        <f t="shared" si="11"/>
        <v>0.5531999999999996</v>
      </c>
      <c r="E181">
        <f t="shared" si="11"/>
        <v>-1.1663624999999984</v>
      </c>
      <c r="F181">
        <f t="shared" si="11"/>
        <v>-0.3953374999999993</v>
      </c>
      <c r="G181">
        <f t="shared" si="11"/>
        <v>-0.037187499999999915</v>
      </c>
      <c r="H181">
        <f t="shared" si="11"/>
        <v>0.07093124999999981</v>
      </c>
      <c r="I181">
        <f t="shared" si="11"/>
        <v>0.0066835937499999795</v>
      </c>
      <c r="J181">
        <f t="shared" si="10"/>
        <v>6.029027343750001</v>
      </c>
    </row>
    <row r="182" spans="1:10" ht="12.75">
      <c r="A182">
        <v>-115</v>
      </c>
      <c r="B182">
        <f t="shared" si="11"/>
        <v>3.5663</v>
      </c>
      <c r="C182">
        <f t="shared" si="11"/>
        <v>2.8998374647599827</v>
      </c>
      <c r="D182">
        <f t="shared" si="11"/>
        <v>0.3952197886428127</v>
      </c>
      <c r="E182">
        <f t="shared" si="11"/>
        <v>-0.7043172307270519</v>
      </c>
      <c r="F182">
        <f t="shared" si="11"/>
        <v>-0.2017813539675817</v>
      </c>
      <c r="G182">
        <f t="shared" si="11"/>
        <v>-0.016043098812391677</v>
      </c>
      <c r="H182">
        <f t="shared" si="11"/>
        <v>0.025864682031370167</v>
      </c>
      <c r="I182">
        <f t="shared" si="11"/>
        <v>0.0020599554574787828</v>
      </c>
      <c r="J182">
        <f t="shared" si="10"/>
        <v>5.9671402073846185</v>
      </c>
    </row>
    <row r="183" spans="1:10" ht="12.75">
      <c r="A183">
        <v>-110</v>
      </c>
      <c r="B183">
        <f t="shared" si="11"/>
        <v>3.5663</v>
      </c>
      <c r="C183">
        <f t="shared" si="11"/>
        <v>2.3468054154434084</v>
      </c>
      <c r="D183">
        <f t="shared" si="11"/>
        <v>0.25884842813316267</v>
      </c>
      <c r="E183">
        <f t="shared" si="11"/>
        <v>-0.373317706475057</v>
      </c>
      <c r="F183">
        <f t="shared" si="11"/>
        <v>-0.0865555126244083</v>
      </c>
      <c r="G183">
        <f t="shared" si="11"/>
        <v>-0.005569361196410971</v>
      </c>
      <c r="H183">
        <f t="shared" si="11"/>
        <v>0.007266540446159114</v>
      </c>
      <c r="I183">
        <f t="shared" si="11"/>
        <v>0.0004683621666605795</v>
      </c>
      <c r="J183">
        <f t="shared" si="10"/>
        <v>5.714246165893514</v>
      </c>
    </row>
    <row r="184" spans="1:10" ht="12.75">
      <c r="A184">
        <v>-105</v>
      </c>
      <c r="B184">
        <f t="shared" si="11"/>
        <v>3.5663</v>
      </c>
      <c r="C184">
        <f t="shared" si="11"/>
        <v>1.7759127598754572</v>
      </c>
      <c r="D184">
        <f t="shared" si="11"/>
        <v>0.14822949325289717</v>
      </c>
      <c r="E184">
        <f t="shared" si="11"/>
        <v>-0.1617753048169443</v>
      </c>
      <c r="F184">
        <f t="shared" si="11"/>
        <v>-0.028383955450955924</v>
      </c>
      <c r="G184">
        <f t="shared" si="11"/>
        <v>-0.001382063871501912</v>
      </c>
      <c r="H184">
        <f t="shared" si="11"/>
        <v>0.0013645673344510896</v>
      </c>
      <c r="I184">
        <f t="shared" si="11"/>
        <v>6.655698307962346E-05</v>
      </c>
      <c r="J184">
        <f t="shared" si="10"/>
        <v>5.300332053306482</v>
      </c>
    </row>
    <row r="185" spans="1:10" ht="12.75">
      <c r="A185">
        <v>-100</v>
      </c>
      <c r="B185">
        <f t="shared" si="11"/>
        <v>3.5663</v>
      </c>
      <c r="C185">
        <f t="shared" si="11"/>
        <v>1.191504335879409</v>
      </c>
      <c r="D185">
        <f t="shared" si="11"/>
        <v>0.06672408436247093</v>
      </c>
      <c r="E185">
        <f t="shared" si="11"/>
        <v>-0.04885783574427026</v>
      </c>
      <c r="F185">
        <f t="shared" si="11"/>
        <v>-0.005751338303505506</v>
      </c>
      <c r="G185">
        <f t="shared" si="11"/>
        <v>-0.00018788759675343809</v>
      </c>
      <c r="H185">
        <f t="shared" si="11"/>
        <v>0.00012446262818220692</v>
      </c>
      <c r="I185">
        <f t="shared" si="11"/>
        <v>4.072973870582989E-06</v>
      </c>
      <c r="J185">
        <f t="shared" si="10"/>
        <v>4.769859894199403</v>
      </c>
    </row>
    <row r="186" spans="1:10" ht="12.75">
      <c r="A186">
        <v>-95</v>
      </c>
      <c r="B186">
        <f t="shared" si="11"/>
        <v>3.5663</v>
      </c>
      <c r="C186">
        <f t="shared" si="11"/>
        <v>0.5980278444373318</v>
      </c>
      <c r="D186">
        <f t="shared" si="11"/>
        <v>0.016808702067293027</v>
      </c>
      <c r="E186">
        <f t="shared" si="11"/>
        <v>-0.006177483016315006</v>
      </c>
      <c r="F186">
        <f t="shared" si="11"/>
        <v>-0.0003649824881876833</v>
      </c>
      <c r="G186">
        <f t="shared" si="11"/>
        <v>-5.984488035378673E-06</v>
      </c>
      <c r="H186">
        <f t="shared" si="11"/>
        <v>1.9897276601539505E-06</v>
      </c>
      <c r="I186">
        <f t="shared" si="11"/>
        <v>3.268075432412779E-08</v>
      </c>
      <c r="J186">
        <f t="shared" si="10"/>
        <v>4.1745901189205</v>
      </c>
    </row>
    <row r="187" spans="1:10" ht="12.75">
      <c r="A187">
        <v>-90</v>
      </c>
      <c r="B187">
        <f t="shared" si="11"/>
        <v>3.5663</v>
      </c>
      <c r="C187">
        <f t="shared" si="11"/>
        <v>-4.2032393191004936E-16</v>
      </c>
      <c r="D187">
        <f t="shared" si="11"/>
        <v>8.303469690677464E-33</v>
      </c>
      <c r="E187">
        <f t="shared" si="11"/>
        <v>2.1448636942429007E-48</v>
      </c>
      <c r="F187">
        <f t="shared" si="11"/>
        <v>-8.9068241540721E-65</v>
      </c>
      <c r="G187">
        <f t="shared" si="11"/>
        <v>1.026456540463845E-81</v>
      </c>
      <c r="H187">
        <f t="shared" si="11"/>
        <v>2.398666740225187E-97</v>
      </c>
      <c r="I187">
        <f t="shared" si="11"/>
        <v>-2.7690516771432484E-114</v>
      </c>
      <c r="J187">
        <f t="shared" si="10"/>
        <v>3.5662999999999996</v>
      </c>
    </row>
    <row r="188" spans="1:10" ht="12.75">
      <c r="A188">
        <v>-85</v>
      </c>
      <c r="B188">
        <f t="shared" si="11"/>
        <v>3.5663</v>
      </c>
      <c r="C188">
        <f t="shared" si="11"/>
        <v>-0.5980278444373311</v>
      </c>
      <c r="D188">
        <f t="shared" si="11"/>
        <v>0.01680870206729299</v>
      </c>
      <c r="E188">
        <f t="shared" si="11"/>
        <v>0.006177483016314986</v>
      </c>
      <c r="F188">
        <f t="shared" si="11"/>
        <v>-0.0003649824881876816</v>
      </c>
      <c r="G188">
        <f t="shared" si="11"/>
        <v>5.984488035378639E-06</v>
      </c>
      <c r="H188">
        <f t="shared" si="11"/>
        <v>1.989727660153937E-06</v>
      </c>
      <c r="I188">
        <f t="shared" si="11"/>
        <v>-3.268075432412754E-08</v>
      </c>
      <c r="J188">
        <f t="shared" si="10"/>
        <v>2.9909012996930304</v>
      </c>
    </row>
    <row r="189" spans="1:10" ht="12.75">
      <c r="A189">
        <v>-80</v>
      </c>
      <c r="B189">
        <f aca="true" t="shared" si="12" ref="B189:I198">B$168*COS($A189*PI()/180)^B$167</f>
        <v>3.5663</v>
      </c>
      <c r="C189">
        <f t="shared" si="12"/>
        <v>-1.1915043358794097</v>
      </c>
      <c r="D189">
        <f t="shared" si="12"/>
        <v>0.06672408436247101</v>
      </c>
      <c r="E189">
        <f t="shared" si="12"/>
        <v>0.04885783574427035</v>
      </c>
      <c r="F189">
        <f t="shared" si="12"/>
        <v>-0.00575133830350552</v>
      </c>
      <c r="G189">
        <f t="shared" si="12"/>
        <v>0.00018788759675343868</v>
      </c>
      <c r="H189">
        <f t="shared" si="12"/>
        <v>0.0001244626281822074</v>
      </c>
      <c r="I189">
        <f t="shared" si="12"/>
        <v>-4.072973870583007E-06</v>
      </c>
      <c r="J189">
        <f t="shared" si="10"/>
        <v>2.4849345231748905</v>
      </c>
    </row>
    <row r="190" spans="1:10" ht="12.75">
      <c r="A190">
        <v>-75</v>
      </c>
      <c r="B190">
        <f t="shared" si="12"/>
        <v>3.5663</v>
      </c>
      <c r="C190">
        <f t="shared" si="12"/>
        <v>-1.7759127598754563</v>
      </c>
      <c r="D190">
        <f t="shared" si="12"/>
        <v>0.14822949325289705</v>
      </c>
      <c r="E190">
        <f t="shared" si="12"/>
        <v>0.1617753048169441</v>
      </c>
      <c r="F190">
        <f t="shared" si="12"/>
        <v>-0.028383955450955883</v>
      </c>
      <c r="G190">
        <f t="shared" si="12"/>
        <v>0.0013820638715019095</v>
      </c>
      <c r="H190">
        <f t="shared" si="12"/>
        <v>0.0013645673344510863</v>
      </c>
      <c r="I190">
        <f t="shared" si="12"/>
        <v>-6.655698307962329E-05</v>
      </c>
      <c r="J190">
        <f t="shared" si="10"/>
        <v>2.0746881569663023</v>
      </c>
    </row>
    <row r="191" spans="1:10" ht="12.75">
      <c r="A191">
        <v>-70</v>
      </c>
      <c r="B191">
        <f t="shared" si="12"/>
        <v>3.5663</v>
      </c>
      <c r="C191">
        <f t="shared" si="12"/>
        <v>-2.3468054154434093</v>
      </c>
      <c r="D191">
        <f t="shared" si="12"/>
        <v>0.25884842813316283</v>
      </c>
      <c r="E191">
        <f t="shared" si="12"/>
        <v>0.3733177064750574</v>
      </c>
      <c r="F191">
        <f t="shared" si="12"/>
        <v>-0.08655551262440843</v>
      </c>
      <c r="G191">
        <f t="shared" si="12"/>
        <v>0.0055693611964109805</v>
      </c>
      <c r="H191">
        <f t="shared" si="12"/>
        <v>0.00726654044615913</v>
      </c>
      <c r="I191">
        <f t="shared" si="12"/>
        <v>-0.0004683621666605806</v>
      </c>
      <c r="J191">
        <f t="shared" si="10"/>
        <v>1.7774727460163122</v>
      </c>
    </row>
    <row r="192" spans="1:10" ht="12.75">
      <c r="A192">
        <v>-65</v>
      </c>
      <c r="B192">
        <f t="shared" si="12"/>
        <v>3.5663</v>
      </c>
      <c r="C192">
        <f t="shared" si="12"/>
        <v>-2.899837464759983</v>
      </c>
      <c r="D192">
        <f t="shared" si="12"/>
        <v>0.39521978864281293</v>
      </c>
      <c r="E192">
        <f t="shared" si="12"/>
        <v>0.7043172307270525</v>
      </c>
      <c r="F192">
        <f t="shared" si="12"/>
        <v>-0.20178135396758193</v>
      </c>
      <c r="G192">
        <f t="shared" si="12"/>
        <v>0.0160430988123917</v>
      </c>
      <c r="H192">
        <f t="shared" si="12"/>
        <v>0.025864682031370212</v>
      </c>
      <c r="I192">
        <f t="shared" si="12"/>
        <v>-0.0020599554574787867</v>
      </c>
      <c r="J192">
        <f t="shared" si="10"/>
        <v>1.6040660260285835</v>
      </c>
    </row>
    <row r="193" spans="1:10" ht="12.75">
      <c r="A193">
        <v>-60</v>
      </c>
      <c r="B193">
        <f t="shared" si="12"/>
        <v>3.5663</v>
      </c>
      <c r="C193">
        <f t="shared" si="12"/>
        <v>-3.430800000000001</v>
      </c>
      <c r="D193">
        <f t="shared" si="12"/>
        <v>0.5532000000000002</v>
      </c>
      <c r="E193">
        <f t="shared" si="12"/>
        <v>1.1663625000000006</v>
      </c>
      <c r="F193">
        <f t="shared" si="12"/>
        <v>-0.39533750000000034</v>
      </c>
      <c r="G193">
        <f t="shared" si="12"/>
        <v>0.03718750000000004</v>
      </c>
      <c r="H193">
        <f t="shared" si="12"/>
        <v>0.0709312500000001</v>
      </c>
      <c r="I193">
        <f t="shared" si="12"/>
        <v>-0.006683593750000011</v>
      </c>
      <c r="J193">
        <f t="shared" si="10"/>
        <v>1.5611601562499997</v>
      </c>
    </row>
    <row r="194" spans="1:10" ht="12.75">
      <c r="A194">
        <v>-55</v>
      </c>
      <c r="B194">
        <f t="shared" si="12"/>
        <v>3.5663</v>
      </c>
      <c r="C194">
        <f t="shared" si="12"/>
        <v>-3.9356520756663382</v>
      </c>
      <c r="D194">
        <f t="shared" si="12"/>
        <v>0.7279889134244804</v>
      </c>
      <c r="E194">
        <f t="shared" si="12"/>
        <v>1.7607489543308157</v>
      </c>
      <c r="F194">
        <f t="shared" si="12"/>
        <v>-0.68462570264081</v>
      </c>
      <c r="G194">
        <f t="shared" si="12"/>
        <v>0.07387601625170039</v>
      </c>
      <c r="H194">
        <f t="shared" si="12"/>
        <v>0.16164616123450873</v>
      </c>
      <c r="I194">
        <f t="shared" si="12"/>
        <v>-0.017472663914049183</v>
      </c>
      <c r="J194">
        <f t="shared" si="10"/>
        <v>1.6528096030203079</v>
      </c>
    </row>
    <row r="195" spans="1:10" ht="12.75">
      <c r="A195">
        <v>-50</v>
      </c>
      <c r="B195">
        <f t="shared" si="12"/>
        <v>3.5663</v>
      </c>
      <c r="C195">
        <f t="shared" si="12"/>
        <v>-4.4105514626251585</v>
      </c>
      <c r="D195">
        <f t="shared" si="12"/>
        <v>0.9142756562293084</v>
      </c>
      <c r="E195">
        <f t="shared" si="12"/>
        <v>2.4781410703750426</v>
      </c>
      <c r="F195">
        <f t="shared" si="12"/>
        <v>-1.0798364455529015</v>
      </c>
      <c r="G195">
        <f t="shared" si="12"/>
        <v>0.1305823395121789</v>
      </c>
      <c r="H195">
        <f t="shared" si="12"/>
        <v>0.32020091443843085</v>
      </c>
      <c r="I195">
        <f t="shared" si="12"/>
        <v>-0.038787562746032005</v>
      </c>
      <c r="J195">
        <f t="shared" si="10"/>
        <v>1.8803245096308685</v>
      </c>
    </row>
    <row r="196" spans="1:10" ht="12.75">
      <c r="A196">
        <v>-45</v>
      </c>
      <c r="B196">
        <f t="shared" si="12"/>
        <v>3.5663</v>
      </c>
      <c r="C196">
        <f t="shared" si="12"/>
        <v>-4.851883889789615</v>
      </c>
      <c r="D196">
        <f t="shared" si="12"/>
        <v>1.1064000000000003</v>
      </c>
      <c r="E196">
        <f t="shared" si="12"/>
        <v>3.298971332286779</v>
      </c>
      <c r="F196">
        <f t="shared" si="12"/>
        <v>-1.5813500000000007</v>
      </c>
      <c r="G196">
        <f t="shared" si="12"/>
        <v>0.210364267402998</v>
      </c>
      <c r="H196">
        <f t="shared" si="12"/>
        <v>0.5674500000000003</v>
      </c>
      <c r="I196">
        <f t="shared" si="12"/>
        <v>-0.07561623141313648</v>
      </c>
      <c r="J196">
        <f t="shared" si="10"/>
        <v>2.2406354784870253</v>
      </c>
    </row>
    <row r="197" spans="1:10" ht="12.75">
      <c r="A197">
        <v>-40</v>
      </c>
      <c r="B197">
        <f t="shared" si="12"/>
        <v>3.5663</v>
      </c>
      <c r="C197">
        <f t="shared" si="12"/>
        <v>-5.25629055090518</v>
      </c>
      <c r="D197">
        <f t="shared" si="12"/>
        <v>1.2985243437706917</v>
      </c>
      <c r="E197">
        <f t="shared" si="12"/>
        <v>4.194550570724154</v>
      </c>
      <c r="F197">
        <f t="shared" si="12"/>
        <v>-2.1782306285673023</v>
      </c>
      <c r="G197">
        <f t="shared" si="12"/>
        <v>0.31391841589878794</v>
      </c>
      <c r="H197">
        <f t="shared" si="12"/>
        <v>0.9173633525666779</v>
      </c>
      <c r="I197">
        <f t="shared" si="12"/>
        <v>-0.13243347647668197</v>
      </c>
      <c r="J197">
        <f t="shared" si="10"/>
        <v>2.723702027011147</v>
      </c>
    </row>
    <row r="198" spans="1:10" ht="12.75">
      <c r="A198">
        <v>-35</v>
      </c>
      <c r="B198">
        <f t="shared" si="12"/>
        <v>3.5663</v>
      </c>
      <c r="C198">
        <f t="shared" si="12"/>
        <v>-5.620693667093346</v>
      </c>
      <c r="D198">
        <f t="shared" si="12"/>
        <v>1.48481108657552</v>
      </c>
      <c r="E198">
        <f t="shared" si="12"/>
        <v>5.128815700555337</v>
      </c>
      <c r="F198">
        <f t="shared" si="12"/>
        <v>-2.848039917232994</v>
      </c>
      <c r="G198">
        <f t="shared" si="12"/>
        <v>0.43890401987186406</v>
      </c>
      <c r="H198">
        <f t="shared" si="12"/>
        <v>1.371528081021899</v>
      </c>
      <c r="I198">
        <f t="shared" si="12"/>
        <v>-0.2117247602951908</v>
      </c>
      <c r="J198">
        <f t="shared" si="10"/>
        <v>3.309900543403089</v>
      </c>
    </row>
    <row r="199" spans="1:10" ht="12.75">
      <c r="A199">
        <v>-30</v>
      </c>
      <c r="B199">
        <f aca="true" t="shared" si="13" ref="B199:I208">B$168*COS($A199*PI()/180)^B$167</f>
        <v>3.5663</v>
      </c>
      <c r="C199">
        <f t="shared" si="13"/>
        <v>-5.942319910607305</v>
      </c>
      <c r="D199">
        <f t="shared" si="13"/>
        <v>1.6596000000000004</v>
      </c>
      <c r="E199">
        <f t="shared" si="13"/>
        <v>6.060597330129165</v>
      </c>
      <c r="F199">
        <f t="shared" si="13"/>
        <v>-3.5580375000000015</v>
      </c>
      <c r="G199">
        <f t="shared" si="13"/>
        <v>0.5796957546582089</v>
      </c>
      <c r="H199">
        <f t="shared" si="13"/>
        <v>1.915143750000001</v>
      </c>
      <c r="I199">
        <f t="shared" si="13"/>
        <v>-0.31256074670804485</v>
      </c>
      <c r="J199">
        <f t="shared" si="10"/>
        <v>3.9684186774720245</v>
      </c>
    </row>
    <row r="200" spans="1:10" ht="12.75">
      <c r="A200">
        <v>-25</v>
      </c>
      <c r="B200">
        <f t="shared" si="13"/>
        <v>3.5663</v>
      </c>
      <c r="C200">
        <f t="shared" si="13"/>
        <v>-6.218721511530678</v>
      </c>
      <c r="D200">
        <f t="shared" si="13"/>
        <v>1.817580211357187</v>
      </c>
      <c r="E200">
        <f t="shared" si="13"/>
        <v>6.946254154531985</v>
      </c>
      <c r="F200">
        <f t="shared" si="13"/>
        <v>-4.267670100278817</v>
      </c>
      <c r="G200">
        <f t="shared" si="13"/>
        <v>0.727655001552399</v>
      </c>
      <c r="H200">
        <f t="shared" si="13"/>
        <v>2.5157753427173306</v>
      </c>
      <c r="I200">
        <f t="shared" si="13"/>
        <v>-0.4296848033566952</v>
      </c>
      <c r="J200">
        <f t="shared" si="10"/>
        <v>4.657488294992712</v>
      </c>
    </row>
    <row r="201" spans="1:10" ht="12.75">
      <c r="A201">
        <v>-20</v>
      </c>
      <c r="B201">
        <f t="shared" si="13"/>
        <v>3.5663</v>
      </c>
      <c r="C201">
        <f t="shared" si="13"/>
        <v>-6.44779488678459</v>
      </c>
      <c r="D201">
        <f t="shared" si="13"/>
        <v>1.9539515718668374</v>
      </c>
      <c r="E201">
        <f t="shared" si="13"/>
        <v>7.742495906468425</v>
      </c>
      <c r="F201">
        <f t="shared" si="13"/>
        <v>-4.932093033129193</v>
      </c>
      <c r="G201">
        <f t="shared" si="13"/>
        <v>0.8719188034955415</v>
      </c>
      <c r="H201">
        <f t="shared" si="13"/>
        <v>3.1255934348051406</v>
      </c>
      <c r="I201">
        <f t="shared" si="13"/>
        <v>-0.5535039557005528</v>
      </c>
      <c r="J201">
        <f t="shared" si="10"/>
        <v>5.32686784102161</v>
      </c>
    </row>
    <row r="202" spans="1:10" ht="12.75">
      <c r="A202">
        <v>-15</v>
      </c>
      <c r="B202">
        <f t="shared" si="13"/>
        <v>3.5663</v>
      </c>
      <c r="C202">
        <f t="shared" si="13"/>
        <v>-6.627796649665071</v>
      </c>
      <c r="D202">
        <f t="shared" si="13"/>
        <v>2.064570506747103</v>
      </c>
      <c r="E202">
        <f t="shared" si="13"/>
        <v>8.40920363553389</v>
      </c>
      <c r="F202">
        <f t="shared" si="13"/>
        <v>-5.506341044549045</v>
      </c>
      <c r="G202">
        <f t="shared" si="13"/>
        <v>1.000612334035742</v>
      </c>
      <c r="H202">
        <f t="shared" si="13"/>
        <v>3.68706043266555</v>
      </c>
      <c r="I202">
        <f t="shared" si="13"/>
        <v>-0.6711606107746657</v>
      </c>
      <c r="J202">
        <f t="shared" si="10"/>
        <v>5.922448603993503</v>
      </c>
    </row>
    <row r="203" spans="1:10" ht="12.75">
      <c r="A203">
        <v>-10</v>
      </c>
      <c r="B203">
        <f t="shared" si="13"/>
        <v>3.5663</v>
      </c>
      <c r="C203">
        <f t="shared" si="13"/>
        <v>-6.757356878068567</v>
      </c>
      <c r="D203">
        <f t="shared" si="13"/>
        <v>2.146075915637529</v>
      </c>
      <c r="E203">
        <f t="shared" si="13"/>
        <v>8.912056106979263</v>
      </c>
      <c r="F203">
        <f t="shared" si="13"/>
        <v>-5.94968304182269</v>
      </c>
      <c r="G203">
        <f t="shared" si="13"/>
        <v>1.1023112918056037</v>
      </c>
      <c r="H203">
        <f t="shared" si="13"/>
        <v>4.141201295115409</v>
      </c>
      <c r="I203">
        <f t="shared" si="13"/>
        <v>-0.7685643338981298</v>
      </c>
      <c r="J203">
        <f t="shared" si="10"/>
        <v>6.392340355748418</v>
      </c>
    </row>
    <row r="204" spans="1:10" ht="12.75">
      <c r="A204">
        <v>-5</v>
      </c>
      <c r="B204">
        <f t="shared" si="13"/>
        <v>3.5663</v>
      </c>
      <c r="C204">
        <f t="shared" si="13"/>
        <v>-6.835489540426321</v>
      </c>
      <c r="D204">
        <f t="shared" si="13"/>
        <v>2.195991297932707</v>
      </c>
      <c r="E204">
        <f t="shared" si="13"/>
        <v>9.224784154448368</v>
      </c>
      <c r="F204">
        <f t="shared" si="13"/>
        <v>-6.229667943391609</v>
      </c>
      <c r="G204">
        <f t="shared" si="13"/>
        <v>1.1675301150178339</v>
      </c>
      <c r="H204">
        <f t="shared" si="13"/>
        <v>4.4369337432672316</v>
      </c>
      <c r="I204">
        <f t="shared" si="13"/>
        <v>-0.8329704521307276</v>
      </c>
      <c r="J204">
        <f t="shared" si="10"/>
        <v>6.693411374717482</v>
      </c>
    </row>
    <row r="205" spans="1:10" ht="12.75">
      <c r="A205">
        <v>0</v>
      </c>
      <c r="B205">
        <f t="shared" si="13"/>
        <v>3.5663</v>
      </c>
      <c r="C205">
        <f t="shared" si="13"/>
        <v>-6.8616</v>
      </c>
      <c r="D205">
        <f t="shared" si="13"/>
        <v>2.2128</v>
      </c>
      <c r="E205">
        <f t="shared" si="13"/>
        <v>9.3309</v>
      </c>
      <c r="F205">
        <f t="shared" si="13"/>
        <v>-6.3254</v>
      </c>
      <c r="G205">
        <f t="shared" si="13"/>
        <v>1.19</v>
      </c>
      <c r="H205">
        <f t="shared" si="13"/>
        <v>4.5396</v>
      </c>
      <c r="I205">
        <f t="shared" si="13"/>
        <v>-0.8555</v>
      </c>
      <c r="J205">
        <f t="shared" si="10"/>
        <v>6.7970999999999995</v>
      </c>
    </row>
    <row r="206" spans="1:10" ht="12.75">
      <c r="A206">
        <v>5</v>
      </c>
      <c r="B206">
        <f t="shared" si="13"/>
        <v>3.5663</v>
      </c>
      <c r="C206">
        <f t="shared" si="13"/>
        <v>-6.835489540426321</v>
      </c>
      <c r="D206">
        <f t="shared" si="13"/>
        <v>2.195991297932707</v>
      </c>
      <c r="E206">
        <f t="shared" si="13"/>
        <v>9.224784154448368</v>
      </c>
      <c r="F206">
        <f t="shared" si="13"/>
        <v>-6.229667943391609</v>
      </c>
      <c r="G206">
        <f t="shared" si="13"/>
        <v>1.1675301150178339</v>
      </c>
      <c r="H206">
        <f t="shared" si="13"/>
        <v>4.4369337432672316</v>
      </c>
      <c r="I206">
        <f t="shared" si="13"/>
        <v>-0.8329704521307276</v>
      </c>
      <c r="J206">
        <f t="shared" si="10"/>
        <v>6.693411374717482</v>
      </c>
    </row>
    <row r="207" spans="1:10" ht="12.75">
      <c r="A207">
        <v>10</v>
      </c>
      <c r="B207">
        <f t="shared" si="13"/>
        <v>3.5663</v>
      </c>
      <c r="C207">
        <f t="shared" si="13"/>
        <v>-6.757356878068567</v>
      </c>
      <c r="D207">
        <f t="shared" si="13"/>
        <v>2.146075915637529</v>
      </c>
      <c r="E207">
        <f t="shared" si="13"/>
        <v>8.912056106979263</v>
      </c>
      <c r="F207">
        <f t="shared" si="13"/>
        <v>-5.94968304182269</v>
      </c>
      <c r="G207">
        <f t="shared" si="13"/>
        <v>1.1023112918056037</v>
      </c>
      <c r="H207">
        <f t="shared" si="13"/>
        <v>4.141201295115409</v>
      </c>
      <c r="I207">
        <f t="shared" si="13"/>
        <v>-0.7685643338981298</v>
      </c>
      <c r="J207">
        <f t="shared" si="10"/>
        <v>6.392340355748418</v>
      </c>
    </row>
    <row r="208" spans="1:10" ht="12.75">
      <c r="A208">
        <v>15</v>
      </c>
      <c r="B208">
        <f t="shared" si="13"/>
        <v>3.5663</v>
      </c>
      <c r="C208">
        <f t="shared" si="13"/>
        <v>-6.627796649665071</v>
      </c>
      <c r="D208">
        <f t="shared" si="13"/>
        <v>2.064570506747103</v>
      </c>
      <c r="E208">
        <f t="shared" si="13"/>
        <v>8.40920363553389</v>
      </c>
      <c r="F208">
        <f t="shared" si="13"/>
        <v>-5.506341044549045</v>
      </c>
      <c r="G208">
        <f t="shared" si="13"/>
        <v>1.000612334035742</v>
      </c>
      <c r="H208">
        <f t="shared" si="13"/>
        <v>3.68706043266555</v>
      </c>
      <c r="I208">
        <f t="shared" si="13"/>
        <v>-0.6711606107746657</v>
      </c>
      <c r="J208">
        <f t="shared" si="10"/>
        <v>5.922448603993503</v>
      </c>
    </row>
    <row r="209" spans="1:10" ht="12.75">
      <c r="A209">
        <v>20</v>
      </c>
      <c r="B209">
        <f aca="true" t="shared" si="14" ref="B209:I218">B$168*COS($A209*PI()/180)^B$167</f>
        <v>3.5663</v>
      </c>
      <c r="C209">
        <f t="shared" si="14"/>
        <v>-6.44779488678459</v>
      </c>
      <c r="D209">
        <f t="shared" si="14"/>
        <v>1.9539515718668374</v>
      </c>
      <c r="E209">
        <f t="shared" si="14"/>
        <v>7.742495906468425</v>
      </c>
      <c r="F209">
        <f t="shared" si="14"/>
        <v>-4.932093033129193</v>
      </c>
      <c r="G209">
        <f t="shared" si="14"/>
        <v>0.8719188034955415</v>
      </c>
      <c r="H209">
        <f t="shared" si="14"/>
        <v>3.1255934348051406</v>
      </c>
      <c r="I209">
        <f t="shared" si="14"/>
        <v>-0.5535039557005528</v>
      </c>
      <c r="J209">
        <f t="shared" si="10"/>
        <v>5.32686784102161</v>
      </c>
    </row>
    <row r="210" spans="1:10" ht="12.75">
      <c r="A210">
        <v>25</v>
      </c>
      <c r="B210">
        <f t="shared" si="14"/>
        <v>3.5663</v>
      </c>
      <c r="C210">
        <f t="shared" si="14"/>
        <v>-6.218721511530678</v>
      </c>
      <c r="D210">
        <f t="shared" si="14"/>
        <v>1.817580211357187</v>
      </c>
      <c r="E210">
        <f t="shared" si="14"/>
        <v>6.946254154531985</v>
      </c>
      <c r="F210">
        <f t="shared" si="14"/>
        <v>-4.267670100278817</v>
      </c>
      <c r="G210">
        <f t="shared" si="14"/>
        <v>0.727655001552399</v>
      </c>
      <c r="H210">
        <f t="shared" si="14"/>
        <v>2.5157753427173306</v>
      </c>
      <c r="I210">
        <f t="shared" si="14"/>
        <v>-0.4296848033566952</v>
      </c>
      <c r="J210">
        <f t="shared" si="10"/>
        <v>4.657488294992712</v>
      </c>
    </row>
    <row r="211" spans="1:10" ht="12.75">
      <c r="A211">
        <v>30</v>
      </c>
      <c r="B211">
        <f t="shared" si="14"/>
        <v>3.5663</v>
      </c>
      <c r="C211">
        <f t="shared" si="14"/>
        <v>-5.942319910607305</v>
      </c>
      <c r="D211">
        <f t="shared" si="14"/>
        <v>1.6596000000000004</v>
      </c>
      <c r="E211">
        <f t="shared" si="14"/>
        <v>6.060597330129165</v>
      </c>
      <c r="F211">
        <f t="shared" si="14"/>
        <v>-3.5580375000000015</v>
      </c>
      <c r="G211">
        <f t="shared" si="14"/>
        <v>0.5796957546582089</v>
      </c>
      <c r="H211">
        <f t="shared" si="14"/>
        <v>1.915143750000001</v>
      </c>
      <c r="I211">
        <f t="shared" si="14"/>
        <v>-0.31256074670804485</v>
      </c>
      <c r="J211">
        <f t="shared" si="10"/>
        <v>3.9684186774720245</v>
      </c>
    </row>
    <row r="212" spans="1:10" ht="12.75">
      <c r="A212">
        <v>35</v>
      </c>
      <c r="B212">
        <f t="shared" si="14"/>
        <v>3.5663</v>
      </c>
      <c r="C212">
        <f t="shared" si="14"/>
        <v>-5.620693667093346</v>
      </c>
      <c r="D212">
        <f t="shared" si="14"/>
        <v>1.48481108657552</v>
      </c>
      <c r="E212">
        <f t="shared" si="14"/>
        <v>5.128815700555337</v>
      </c>
      <c r="F212">
        <f t="shared" si="14"/>
        <v>-2.848039917232994</v>
      </c>
      <c r="G212">
        <f t="shared" si="14"/>
        <v>0.43890401987186406</v>
      </c>
      <c r="H212">
        <f t="shared" si="14"/>
        <v>1.371528081021899</v>
      </c>
      <c r="I212">
        <f t="shared" si="14"/>
        <v>-0.2117247602951908</v>
      </c>
      <c r="J212">
        <f t="shared" si="10"/>
        <v>3.309900543403089</v>
      </c>
    </row>
    <row r="213" spans="1:10" ht="12.75">
      <c r="A213">
        <v>40</v>
      </c>
      <c r="B213">
        <f t="shared" si="14"/>
        <v>3.5663</v>
      </c>
      <c r="C213">
        <f t="shared" si="14"/>
        <v>-5.25629055090518</v>
      </c>
      <c r="D213">
        <f t="shared" si="14"/>
        <v>1.2985243437706917</v>
      </c>
      <c r="E213">
        <f t="shared" si="14"/>
        <v>4.194550570724154</v>
      </c>
      <c r="F213">
        <f t="shared" si="14"/>
        <v>-2.1782306285673023</v>
      </c>
      <c r="G213">
        <f t="shared" si="14"/>
        <v>0.31391841589878794</v>
      </c>
      <c r="H213">
        <f t="shared" si="14"/>
        <v>0.9173633525666779</v>
      </c>
      <c r="I213">
        <f t="shared" si="14"/>
        <v>-0.13243347647668197</v>
      </c>
      <c r="J213">
        <f t="shared" si="10"/>
        <v>2.723702027011147</v>
      </c>
    </row>
    <row r="214" spans="1:10" ht="12.75">
      <c r="A214">
        <v>45</v>
      </c>
      <c r="B214">
        <f t="shared" si="14"/>
        <v>3.5663</v>
      </c>
      <c r="C214">
        <f t="shared" si="14"/>
        <v>-4.851883889789615</v>
      </c>
      <c r="D214">
        <f t="shared" si="14"/>
        <v>1.1064000000000003</v>
      </c>
      <c r="E214">
        <f t="shared" si="14"/>
        <v>3.298971332286779</v>
      </c>
      <c r="F214">
        <f t="shared" si="14"/>
        <v>-1.5813500000000007</v>
      </c>
      <c r="G214">
        <f t="shared" si="14"/>
        <v>0.210364267402998</v>
      </c>
      <c r="H214">
        <f t="shared" si="14"/>
        <v>0.5674500000000003</v>
      </c>
      <c r="I214">
        <f t="shared" si="14"/>
        <v>-0.07561623141313648</v>
      </c>
      <c r="J214">
        <f t="shared" si="10"/>
        <v>2.2406354784870253</v>
      </c>
    </row>
    <row r="215" spans="1:10" ht="12.75">
      <c r="A215">
        <v>50</v>
      </c>
      <c r="B215">
        <f t="shared" si="14"/>
        <v>3.5663</v>
      </c>
      <c r="C215">
        <f t="shared" si="14"/>
        <v>-4.4105514626251585</v>
      </c>
      <c r="D215">
        <f t="shared" si="14"/>
        <v>0.9142756562293084</v>
      </c>
      <c r="E215">
        <f t="shared" si="14"/>
        <v>2.4781410703750426</v>
      </c>
      <c r="F215">
        <f t="shared" si="14"/>
        <v>-1.0798364455529015</v>
      </c>
      <c r="G215">
        <f t="shared" si="14"/>
        <v>0.1305823395121789</v>
      </c>
      <c r="H215">
        <f t="shared" si="14"/>
        <v>0.32020091443843085</v>
      </c>
      <c r="I215">
        <f t="shared" si="14"/>
        <v>-0.038787562746032005</v>
      </c>
      <c r="J215">
        <f t="shared" si="10"/>
        <v>1.8803245096308685</v>
      </c>
    </row>
    <row r="216" spans="1:10" ht="12.75">
      <c r="A216">
        <v>55</v>
      </c>
      <c r="B216">
        <f t="shared" si="14"/>
        <v>3.5663</v>
      </c>
      <c r="C216">
        <f t="shared" si="14"/>
        <v>-3.9356520756663382</v>
      </c>
      <c r="D216">
        <f t="shared" si="14"/>
        <v>0.7279889134244804</v>
      </c>
      <c r="E216">
        <f t="shared" si="14"/>
        <v>1.7607489543308157</v>
      </c>
      <c r="F216">
        <f t="shared" si="14"/>
        <v>-0.68462570264081</v>
      </c>
      <c r="G216">
        <f t="shared" si="14"/>
        <v>0.07387601625170039</v>
      </c>
      <c r="H216">
        <f t="shared" si="14"/>
        <v>0.16164616123450873</v>
      </c>
      <c r="I216">
        <f t="shared" si="14"/>
        <v>-0.017472663914049183</v>
      </c>
      <c r="J216">
        <f t="shared" si="10"/>
        <v>1.6528096030203079</v>
      </c>
    </row>
    <row r="217" spans="1:10" ht="12.75">
      <c r="A217">
        <v>60</v>
      </c>
      <c r="B217">
        <f t="shared" si="14"/>
        <v>3.5663</v>
      </c>
      <c r="C217">
        <f t="shared" si="14"/>
        <v>-3.430800000000001</v>
      </c>
      <c r="D217">
        <f t="shared" si="14"/>
        <v>0.5532000000000002</v>
      </c>
      <c r="E217">
        <f t="shared" si="14"/>
        <v>1.1663625000000006</v>
      </c>
      <c r="F217">
        <f t="shared" si="14"/>
        <v>-0.39533750000000034</v>
      </c>
      <c r="G217">
        <f t="shared" si="14"/>
        <v>0.03718750000000004</v>
      </c>
      <c r="H217">
        <f t="shared" si="14"/>
        <v>0.0709312500000001</v>
      </c>
      <c r="I217">
        <f t="shared" si="14"/>
        <v>-0.006683593750000011</v>
      </c>
      <c r="J217">
        <f t="shared" si="10"/>
        <v>1.5611601562499997</v>
      </c>
    </row>
    <row r="218" spans="1:10" ht="12.75">
      <c r="A218">
        <v>65</v>
      </c>
      <c r="B218">
        <f t="shared" si="14"/>
        <v>3.5663</v>
      </c>
      <c r="C218">
        <f t="shared" si="14"/>
        <v>-2.899837464759983</v>
      </c>
      <c r="D218">
        <f t="shared" si="14"/>
        <v>0.39521978864281293</v>
      </c>
      <c r="E218">
        <f t="shared" si="14"/>
        <v>0.7043172307270525</v>
      </c>
      <c r="F218">
        <f t="shared" si="14"/>
        <v>-0.20178135396758193</v>
      </c>
      <c r="G218">
        <f t="shared" si="14"/>
        <v>0.0160430988123917</v>
      </c>
      <c r="H218">
        <f t="shared" si="14"/>
        <v>0.025864682031370212</v>
      </c>
      <c r="I218">
        <f t="shared" si="14"/>
        <v>-0.0020599554574787867</v>
      </c>
      <c r="J218">
        <f t="shared" si="10"/>
        <v>1.6040660260285835</v>
      </c>
    </row>
    <row r="219" spans="1:10" ht="12.75">
      <c r="A219">
        <v>70</v>
      </c>
      <c r="B219">
        <f aca="true" t="shared" si="15" ref="B219:I228">B$168*COS($A219*PI()/180)^B$167</f>
        <v>3.5663</v>
      </c>
      <c r="C219">
        <f t="shared" si="15"/>
        <v>-2.3468054154434093</v>
      </c>
      <c r="D219">
        <f t="shared" si="15"/>
        <v>0.25884842813316283</v>
      </c>
      <c r="E219">
        <f t="shared" si="15"/>
        <v>0.3733177064750574</v>
      </c>
      <c r="F219">
        <f t="shared" si="15"/>
        <v>-0.08655551262440843</v>
      </c>
      <c r="G219">
        <f t="shared" si="15"/>
        <v>0.0055693611964109805</v>
      </c>
      <c r="H219">
        <f t="shared" si="15"/>
        <v>0.00726654044615913</v>
      </c>
      <c r="I219">
        <f t="shared" si="15"/>
        <v>-0.0004683621666605806</v>
      </c>
      <c r="J219">
        <f t="shared" si="10"/>
        <v>1.7774727460163122</v>
      </c>
    </row>
    <row r="220" spans="1:10" ht="12.75">
      <c r="A220">
        <v>75</v>
      </c>
      <c r="B220">
        <f t="shared" si="15"/>
        <v>3.5663</v>
      </c>
      <c r="C220">
        <f t="shared" si="15"/>
        <v>-1.7759127598754563</v>
      </c>
      <c r="D220">
        <f t="shared" si="15"/>
        <v>0.14822949325289705</v>
      </c>
      <c r="E220">
        <f t="shared" si="15"/>
        <v>0.1617753048169441</v>
      </c>
      <c r="F220">
        <f t="shared" si="15"/>
        <v>-0.028383955450955883</v>
      </c>
      <c r="G220">
        <f t="shared" si="15"/>
        <v>0.0013820638715019095</v>
      </c>
      <c r="H220">
        <f t="shared" si="15"/>
        <v>0.0013645673344510863</v>
      </c>
      <c r="I220">
        <f t="shared" si="15"/>
        <v>-6.655698307962329E-05</v>
      </c>
      <c r="J220">
        <f t="shared" si="10"/>
        <v>2.0746881569663023</v>
      </c>
    </row>
    <row r="221" spans="1:10" ht="12.75">
      <c r="A221">
        <v>80</v>
      </c>
      <c r="B221">
        <f t="shared" si="15"/>
        <v>3.5663</v>
      </c>
      <c r="C221">
        <f t="shared" si="15"/>
        <v>-1.1915043358794097</v>
      </c>
      <c r="D221">
        <f t="shared" si="15"/>
        <v>0.06672408436247101</v>
      </c>
      <c r="E221">
        <f t="shared" si="15"/>
        <v>0.04885783574427035</v>
      </c>
      <c r="F221">
        <f t="shared" si="15"/>
        <v>-0.00575133830350552</v>
      </c>
      <c r="G221">
        <f t="shared" si="15"/>
        <v>0.00018788759675343868</v>
      </c>
      <c r="H221">
        <f t="shared" si="15"/>
        <v>0.0001244626281822074</v>
      </c>
      <c r="I221">
        <f t="shared" si="15"/>
        <v>-4.072973870583007E-06</v>
      </c>
      <c r="J221">
        <f t="shared" si="10"/>
        <v>2.4849345231748905</v>
      </c>
    </row>
    <row r="222" spans="1:10" ht="12.75">
      <c r="A222">
        <v>85</v>
      </c>
      <c r="B222">
        <f t="shared" si="15"/>
        <v>3.5663</v>
      </c>
      <c r="C222">
        <f t="shared" si="15"/>
        <v>-0.5980278444373311</v>
      </c>
      <c r="D222">
        <f t="shared" si="15"/>
        <v>0.01680870206729299</v>
      </c>
      <c r="E222">
        <f t="shared" si="15"/>
        <v>0.006177483016314986</v>
      </c>
      <c r="F222">
        <f t="shared" si="15"/>
        <v>-0.0003649824881876816</v>
      </c>
      <c r="G222">
        <f t="shared" si="15"/>
        <v>5.984488035378639E-06</v>
      </c>
      <c r="H222">
        <f t="shared" si="15"/>
        <v>1.989727660153937E-06</v>
      </c>
      <c r="I222">
        <f t="shared" si="15"/>
        <v>-3.268075432412754E-08</v>
      </c>
      <c r="J222">
        <f t="shared" si="10"/>
        <v>2.9909012996930304</v>
      </c>
    </row>
    <row r="223" spans="1:10" ht="12.75">
      <c r="A223">
        <v>90</v>
      </c>
      <c r="B223">
        <f t="shared" si="15"/>
        <v>3.5663</v>
      </c>
      <c r="C223">
        <f t="shared" si="15"/>
        <v>-4.2032393191004936E-16</v>
      </c>
      <c r="D223">
        <f t="shared" si="15"/>
        <v>8.303469690677464E-33</v>
      </c>
      <c r="E223">
        <f t="shared" si="15"/>
        <v>2.1448636942429007E-48</v>
      </c>
      <c r="F223">
        <f t="shared" si="15"/>
        <v>-8.9068241540721E-65</v>
      </c>
      <c r="G223">
        <f t="shared" si="15"/>
        <v>1.026456540463845E-81</v>
      </c>
      <c r="H223">
        <f t="shared" si="15"/>
        <v>2.398666740225187E-97</v>
      </c>
      <c r="I223">
        <f t="shared" si="15"/>
        <v>-2.7690516771432484E-114</v>
      </c>
      <c r="J223">
        <f t="shared" si="10"/>
        <v>3.5662999999999996</v>
      </c>
    </row>
    <row r="224" spans="1:10" ht="12.75">
      <c r="A224">
        <v>95</v>
      </c>
      <c r="B224">
        <f t="shared" si="15"/>
        <v>3.5663</v>
      </c>
      <c r="C224">
        <f t="shared" si="15"/>
        <v>0.5980278444373318</v>
      </c>
      <c r="D224">
        <f t="shared" si="15"/>
        <v>0.016808702067293027</v>
      </c>
      <c r="E224">
        <f t="shared" si="15"/>
        <v>-0.006177483016315006</v>
      </c>
      <c r="F224">
        <f t="shared" si="15"/>
        <v>-0.0003649824881876833</v>
      </c>
      <c r="G224">
        <f t="shared" si="15"/>
        <v>-5.984488035378673E-06</v>
      </c>
      <c r="H224">
        <f t="shared" si="15"/>
        <v>1.9897276601539505E-06</v>
      </c>
      <c r="I224">
        <f t="shared" si="15"/>
        <v>3.268075432412779E-08</v>
      </c>
      <c r="J224">
        <f t="shared" si="10"/>
        <v>4.1745901189205</v>
      </c>
    </row>
    <row r="225" spans="1:10" ht="12.75">
      <c r="A225">
        <v>100</v>
      </c>
      <c r="B225">
        <f t="shared" si="15"/>
        <v>3.5663</v>
      </c>
      <c r="C225">
        <f t="shared" si="15"/>
        <v>1.191504335879409</v>
      </c>
      <c r="D225">
        <f t="shared" si="15"/>
        <v>0.06672408436247093</v>
      </c>
      <c r="E225">
        <f t="shared" si="15"/>
        <v>-0.04885783574427026</v>
      </c>
      <c r="F225">
        <f t="shared" si="15"/>
        <v>-0.005751338303505506</v>
      </c>
      <c r="G225">
        <f t="shared" si="15"/>
        <v>-0.00018788759675343809</v>
      </c>
      <c r="H225">
        <f t="shared" si="15"/>
        <v>0.00012446262818220692</v>
      </c>
      <c r="I225">
        <f t="shared" si="15"/>
        <v>4.072973870582989E-06</v>
      </c>
      <c r="J225">
        <f t="shared" si="10"/>
        <v>4.769859894199403</v>
      </c>
    </row>
    <row r="226" spans="1:10" ht="12.75">
      <c r="A226">
        <v>105</v>
      </c>
      <c r="B226">
        <f t="shared" si="15"/>
        <v>3.5663</v>
      </c>
      <c r="C226">
        <f t="shared" si="15"/>
        <v>1.7759127598754572</v>
      </c>
      <c r="D226">
        <f t="shared" si="15"/>
        <v>0.14822949325289717</v>
      </c>
      <c r="E226">
        <f t="shared" si="15"/>
        <v>-0.1617753048169443</v>
      </c>
      <c r="F226">
        <f t="shared" si="15"/>
        <v>-0.028383955450955924</v>
      </c>
      <c r="G226">
        <f t="shared" si="15"/>
        <v>-0.001382063871501912</v>
      </c>
      <c r="H226">
        <f t="shared" si="15"/>
        <v>0.0013645673344510896</v>
      </c>
      <c r="I226">
        <f t="shared" si="15"/>
        <v>6.655698307962346E-05</v>
      </c>
      <c r="J226">
        <f t="shared" si="10"/>
        <v>5.300332053306482</v>
      </c>
    </row>
    <row r="227" spans="1:10" ht="12.75">
      <c r="A227">
        <v>110</v>
      </c>
      <c r="B227">
        <f t="shared" si="15"/>
        <v>3.5663</v>
      </c>
      <c r="C227">
        <f t="shared" si="15"/>
        <v>2.3468054154434084</v>
      </c>
      <c r="D227">
        <f t="shared" si="15"/>
        <v>0.25884842813316267</v>
      </c>
      <c r="E227">
        <f t="shared" si="15"/>
        <v>-0.373317706475057</v>
      </c>
      <c r="F227">
        <f t="shared" si="15"/>
        <v>-0.0865555126244083</v>
      </c>
      <c r="G227">
        <f t="shared" si="15"/>
        <v>-0.005569361196410971</v>
      </c>
      <c r="H227">
        <f t="shared" si="15"/>
        <v>0.007266540446159114</v>
      </c>
      <c r="I227">
        <f t="shared" si="15"/>
        <v>0.0004683621666605795</v>
      </c>
      <c r="J227">
        <f t="shared" si="10"/>
        <v>5.714246165893514</v>
      </c>
    </row>
    <row r="228" spans="1:10" ht="12.75">
      <c r="A228">
        <v>115</v>
      </c>
      <c r="B228">
        <f t="shared" si="15"/>
        <v>3.5663</v>
      </c>
      <c r="C228">
        <f t="shared" si="15"/>
        <v>2.8998374647599827</v>
      </c>
      <c r="D228">
        <f t="shared" si="15"/>
        <v>0.3952197886428127</v>
      </c>
      <c r="E228">
        <f t="shared" si="15"/>
        <v>-0.7043172307270519</v>
      </c>
      <c r="F228">
        <f t="shared" si="15"/>
        <v>-0.2017813539675817</v>
      </c>
      <c r="G228">
        <f t="shared" si="15"/>
        <v>-0.016043098812391677</v>
      </c>
      <c r="H228">
        <f t="shared" si="15"/>
        <v>0.025864682031370167</v>
      </c>
      <c r="I228">
        <f t="shared" si="15"/>
        <v>0.0020599554574787828</v>
      </c>
      <c r="J228">
        <f t="shared" si="10"/>
        <v>5.9671402073846185</v>
      </c>
    </row>
    <row r="229" spans="1:10" ht="12.75">
      <c r="A229">
        <v>120</v>
      </c>
      <c r="B229">
        <f aca="true" t="shared" si="16" ref="B229:I241">B$168*COS($A229*PI()/180)^B$167</f>
        <v>3.5663</v>
      </c>
      <c r="C229">
        <f t="shared" si="16"/>
        <v>3.4307999999999987</v>
      </c>
      <c r="D229">
        <f t="shared" si="16"/>
        <v>0.5531999999999996</v>
      </c>
      <c r="E229">
        <f t="shared" si="16"/>
        <v>-1.1663624999999984</v>
      </c>
      <c r="F229">
        <f t="shared" si="16"/>
        <v>-0.3953374999999993</v>
      </c>
      <c r="G229">
        <f t="shared" si="16"/>
        <v>-0.037187499999999915</v>
      </c>
      <c r="H229">
        <f t="shared" si="16"/>
        <v>0.07093124999999981</v>
      </c>
      <c r="I229">
        <f t="shared" si="16"/>
        <v>0.0066835937499999795</v>
      </c>
      <c r="J229">
        <f t="shared" si="10"/>
        <v>6.029027343750001</v>
      </c>
    </row>
    <row r="230" spans="1:10" ht="12.75">
      <c r="A230">
        <v>125</v>
      </c>
      <c r="B230">
        <f t="shared" si="16"/>
        <v>3.5663</v>
      </c>
      <c r="C230">
        <f t="shared" si="16"/>
        <v>3.935652075666336</v>
      </c>
      <c r="D230">
        <f t="shared" si="16"/>
        <v>0.7279889134244795</v>
      </c>
      <c r="E230">
        <f t="shared" si="16"/>
        <v>-1.7607489543308126</v>
      </c>
      <c r="F230">
        <f t="shared" si="16"/>
        <v>-0.6846257026408084</v>
      </c>
      <c r="G230">
        <f t="shared" si="16"/>
        <v>-0.07387601625170016</v>
      </c>
      <c r="H230">
        <f t="shared" si="16"/>
        <v>0.16164616123450817</v>
      </c>
      <c r="I230">
        <f t="shared" si="16"/>
        <v>0.017472663914049107</v>
      </c>
      <c r="J230">
        <f t="shared" si="10"/>
        <v>5.889809141016052</v>
      </c>
    </row>
    <row r="231" spans="1:10" ht="12.75">
      <c r="A231">
        <v>130</v>
      </c>
      <c r="B231">
        <f t="shared" si="16"/>
        <v>3.5663</v>
      </c>
      <c r="C231">
        <f t="shared" si="16"/>
        <v>4.4105514626251585</v>
      </c>
      <c r="D231">
        <f t="shared" si="16"/>
        <v>0.9142756562293084</v>
      </c>
      <c r="E231">
        <f t="shared" si="16"/>
        <v>-2.4781410703750426</v>
      </c>
      <c r="F231">
        <f t="shared" si="16"/>
        <v>-1.0798364455529015</v>
      </c>
      <c r="G231">
        <f t="shared" si="16"/>
        <v>-0.1305823395121789</v>
      </c>
      <c r="H231">
        <f t="shared" si="16"/>
        <v>0.32020091443843085</v>
      </c>
      <c r="I231">
        <f t="shared" si="16"/>
        <v>0.038787562746032005</v>
      </c>
      <c r="J231">
        <f t="shared" si="10"/>
        <v>5.5615557405988065</v>
      </c>
    </row>
    <row r="232" spans="1:10" ht="12.75">
      <c r="A232">
        <v>135</v>
      </c>
      <c r="B232">
        <f t="shared" si="16"/>
        <v>3.5663</v>
      </c>
      <c r="C232">
        <f t="shared" si="16"/>
        <v>4.851883889789614</v>
      </c>
      <c r="D232">
        <f t="shared" si="16"/>
        <v>1.1063999999999998</v>
      </c>
      <c r="E232">
        <f t="shared" si="16"/>
        <v>-3.298971332286777</v>
      </c>
      <c r="F232">
        <f t="shared" si="16"/>
        <v>-1.5813499999999994</v>
      </c>
      <c r="G232">
        <f t="shared" si="16"/>
        <v>-0.21036426740299777</v>
      </c>
      <c r="H232">
        <f t="shared" si="16"/>
        <v>0.5674499999999997</v>
      </c>
      <c r="I232">
        <f t="shared" si="16"/>
        <v>0.07561623141313638</v>
      </c>
      <c r="J232">
        <f t="shared" si="10"/>
        <v>5.076964521512976</v>
      </c>
    </row>
    <row r="233" spans="1:10" ht="12.75">
      <c r="A233">
        <v>140</v>
      </c>
      <c r="B233">
        <f t="shared" si="16"/>
        <v>3.5663</v>
      </c>
      <c r="C233">
        <f t="shared" si="16"/>
        <v>5.256290550905179</v>
      </c>
      <c r="D233">
        <f t="shared" si="16"/>
        <v>1.2985243437706913</v>
      </c>
      <c r="E233">
        <f t="shared" si="16"/>
        <v>-4.194550570724152</v>
      </c>
      <c r="F233">
        <f t="shared" si="16"/>
        <v>-2.1782306285673005</v>
      </c>
      <c r="G233">
        <f t="shared" si="16"/>
        <v>-0.3139184158987876</v>
      </c>
      <c r="H233">
        <f t="shared" si="16"/>
        <v>0.9173633525666768</v>
      </c>
      <c r="I233">
        <f t="shared" si="16"/>
        <v>0.1324334764766818</v>
      </c>
      <c r="J233">
        <f t="shared" si="10"/>
        <v>4.484212108528989</v>
      </c>
    </row>
    <row r="234" spans="1:10" ht="12.75">
      <c r="A234">
        <v>145</v>
      </c>
      <c r="B234">
        <f t="shared" si="16"/>
        <v>3.5663</v>
      </c>
      <c r="C234">
        <f t="shared" si="16"/>
        <v>5.620693667093344</v>
      </c>
      <c r="D234">
        <f t="shared" si="16"/>
        <v>1.484811086575519</v>
      </c>
      <c r="E234">
        <f t="shared" si="16"/>
        <v>-5.128815700555333</v>
      </c>
      <c r="F234">
        <f t="shared" si="16"/>
        <v>-2.8480399172329913</v>
      </c>
      <c r="G234">
        <f t="shared" si="16"/>
        <v>-0.4389040198718635</v>
      </c>
      <c r="H234">
        <f t="shared" si="16"/>
        <v>1.3715280810218968</v>
      </c>
      <c r="I234">
        <f t="shared" si="16"/>
        <v>0.2117247602951904</v>
      </c>
      <c r="J234">
        <f aca="true" t="shared" si="17" ref="J234:J241">SUM(B234:I234)</f>
        <v>3.8392979573257615</v>
      </c>
    </row>
    <row r="235" spans="1:10" ht="12.75">
      <c r="A235">
        <v>150</v>
      </c>
      <c r="B235">
        <f t="shared" si="16"/>
        <v>3.5663</v>
      </c>
      <c r="C235">
        <f t="shared" si="16"/>
        <v>5.942319910607305</v>
      </c>
      <c r="D235">
        <f t="shared" si="16"/>
        <v>1.6596000000000004</v>
      </c>
      <c r="E235">
        <f t="shared" si="16"/>
        <v>-6.060597330129165</v>
      </c>
      <c r="F235">
        <f t="shared" si="16"/>
        <v>-3.5580375000000015</v>
      </c>
      <c r="G235">
        <f t="shared" si="16"/>
        <v>-0.5796957546582089</v>
      </c>
      <c r="H235">
        <f t="shared" si="16"/>
        <v>1.915143750000001</v>
      </c>
      <c r="I235">
        <f t="shared" si="16"/>
        <v>0.31256074670804485</v>
      </c>
      <c r="J235">
        <f t="shared" si="17"/>
        <v>3.1975938225279754</v>
      </c>
    </row>
    <row r="236" spans="1:10" ht="12.75">
      <c r="A236">
        <v>155</v>
      </c>
      <c r="B236">
        <f t="shared" si="16"/>
        <v>3.5663</v>
      </c>
      <c r="C236">
        <f t="shared" si="16"/>
        <v>6.218721511530678</v>
      </c>
      <c r="D236">
        <f t="shared" si="16"/>
        <v>1.817580211357187</v>
      </c>
      <c r="E236">
        <f t="shared" si="16"/>
        <v>-6.946254154531985</v>
      </c>
      <c r="F236">
        <f t="shared" si="16"/>
        <v>-4.267670100278817</v>
      </c>
      <c r="G236">
        <f t="shared" si="16"/>
        <v>-0.727655001552399</v>
      </c>
      <c r="H236">
        <f t="shared" si="16"/>
        <v>2.5157753427173306</v>
      </c>
      <c r="I236">
        <f t="shared" si="16"/>
        <v>0.4296848033566952</v>
      </c>
      <c r="J236">
        <f t="shared" si="17"/>
        <v>2.6064826125986897</v>
      </c>
    </row>
    <row r="237" spans="1:10" ht="12.75">
      <c r="A237">
        <v>160</v>
      </c>
      <c r="B237">
        <f t="shared" si="16"/>
        <v>3.5663</v>
      </c>
      <c r="C237">
        <f t="shared" si="16"/>
        <v>6.447794886784589</v>
      </c>
      <c r="D237">
        <f t="shared" si="16"/>
        <v>1.953951571866837</v>
      </c>
      <c r="E237">
        <f t="shared" si="16"/>
        <v>-7.742495906468422</v>
      </c>
      <c r="F237">
        <f t="shared" si="16"/>
        <v>-4.93209303312919</v>
      </c>
      <c r="G237">
        <f t="shared" si="16"/>
        <v>-0.871918803495541</v>
      </c>
      <c r="H237">
        <f t="shared" si="16"/>
        <v>3.1255934348051375</v>
      </c>
      <c r="I237">
        <f t="shared" si="16"/>
        <v>0.5535039557005522</v>
      </c>
      <c r="J237">
        <f t="shared" si="17"/>
        <v>2.1006361060639622</v>
      </c>
    </row>
    <row r="238" spans="1:10" ht="12.75">
      <c r="A238">
        <v>165</v>
      </c>
      <c r="B238">
        <f t="shared" si="16"/>
        <v>3.5663</v>
      </c>
      <c r="C238">
        <f t="shared" si="16"/>
        <v>6.62779664966507</v>
      </c>
      <c r="D238">
        <f t="shared" si="16"/>
        <v>2.0645705067471027</v>
      </c>
      <c r="E238">
        <f t="shared" si="16"/>
        <v>-8.409203635533888</v>
      </c>
      <c r="F238">
        <f t="shared" si="16"/>
        <v>-5.506341044549043</v>
      </c>
      <c r="G238">
        <f t="shared" si="16"/>
        <v>-1.0006123340357416</v>
      </c>
      <c r="H238">
        <f t="shared" si="16"/>
        <v>3.6870604326655476</v>
      </c>
      <c r="I238">
        <f t="shared" si="16"/>
        <v>0.6711606107746652</v>
      </c>
      <c r="J238">
        <f t="shared" si="17"/>
        <v>1.700731185733713</v>
      </c>
    </row>
    <row r="239" spans="1:10" ht="12.75">
      <c r="A239">
        <v>170</v>
      </c>
      <c r="B239">
        <f t="shared" si="16"/>
        <v>3.5663</v>
      </c>
      <c r="C239">
        <f t="shared" si="16"/>
        <v>6.757356878068567</v>
      </c>
      <c r="D239">
        <f t="shared" si="16"/>
        <v>2.146075915637529</v>
      </c>
      <c r="E239">
        <f t="shared" si="16"/>
        <v>-8.912056106979263</v>
      </c>
      <c r="F239">
        <f t="shared" si="16"/>
        <v>-5.94968304182269</v>
      </c>
      <c r="G239">
        <f t="shared" si="16"/>
        <v>-1.1023112918056037</v>
      </c>
      <c r="H239">
        <f t="shared" si="16"/>
        <v>4.141201295115409</v>
      </c>
      <c r="I239">
        <f t="shared" si="16"/>
        <v>0.7685643338981298</v>
      </c>
      <c r="J239">
        <f t="shared" si="17"/>
        <v>1.4154479821120798</v>
      </c>
    </row>
    <row r="240" spans="1:10" ht="12.75">
      <c r="A240">
        <v>175</v>
      </c>
      <c r="B240">
        <f t="shared" si="16"/>
        <v>3.5663</v>
      </c>
      <c r="C240">
        <f t="shared" si="16"/>
        <v>6.835489540426321</v>
      </c>
      <c r="D240">
        <f t="shared" si="16"/>
        <v>2.195991297932707</v>
      </c>
      <c r="E240">
        <f t="shared" si="16"/>
        <v>-9.224784154448368</v>
      </c>
      <c r="F240">
        <f t="shared" si="16"/>
        <v>-6.229667943391609</v>
      </c>
      <c r="G240">
        <f t="shared" si="16"/>
        <v>-1.1675301150178339</v>
      </c>
      <c r="H240">
        <f t="shared" si="16"/>
        <v>4.4369337432672316</v>
      </c>
      <c r="I240">
        <f t="shared" si="16"/>
        <v>0.8329704521307276</v>
      </c>
      <c r="J240">
        <f t="shared" si="17"/>
        <v>1.2457028208991763</v>
      </c>
    </row>
    <row r="241" spans="1:10" ht="12.75">
      <c r="A241">
        <v>180</v>
      </c>
      <c r="B241">
        <f t="shared" si="16"/>
        <v>3.5663</v>
      </c>
      <c r="C241">
        <f t="shared" si="16"/>
        <v>6.8616</v>
      </c>
      <c r="D241">
        <f t="shared" si="16"/>
        <v>2.2128</v>
      </c>
      <c r="E241">
        <f t="shared" si="16"/>
        <v>-9.3309</v>
      </c>
      <c r="F241">
        <f t="shared" si="16"/>
        <v>-6.3254</v>
      </c>
      <c r="G241">
        <f t="shared" si="16"/>
        <v>-1.19</v>
      </c>
      <c r="H241">
        <f t="shared" si="16"/>
        <v>4.5396</v>
      </c>
      <c r="I241">
        <f t="shared" si="16"/>
        <v>0.8555</v>
      </c>
      <c r="J241">
        <f t="shared" si="17"/>
        <v>1.1895000000000016</v>
      </c>
    </row>
    <row r="243" spans="1:3" ht="12.75">
      <c r="A243" t="s">
        <v>312</v>
      </c>
      <c r="B243" t="s">
        <v>313</v>
      </c>
      <c r="C243" t="s">
        <v>314</v>
      </c>
    </row>
    <row r="244" spans="1:4" ht="12.75">
      <c r="A244" t="s">
        <v>309</v>
      </c>
      <c r="B244">
        <v>1</v>
      </c>
      <c r="C244">
        <v>2</v>
      </c>
      <c r="D244">
        <v>3</v>
      </c>
    </row>
    <row r="245" spans="1:5" ht="12.75">
      <c r="A245" t="s">
        <v>308</v>
      </c>
      <c r="B245">
        <v>2.1227</v>
      </c>
      <c r="C245">
        <v>-2.2593</v>
      </c>
      <c r="D245">
        <v>0.947</v>
      </c>
      <c r="E245" t="s">
        <v>107</v>
      </c>
    </row>
    <row r="246" spans="1:5" ht="12.75">
      <c r="A246">
        <v>-180</v>
      </c>
      <c r="B246">
        <f aca="true" t="shared" si="18" ref="B246:B277">1/2*B$245*(1+COS($A246*PI()/180))</f>
        <v>0</v>
      </c>
      <c r="C246">
        <f aca="true" t="shared" si="19" ref="C246:C277">1/2*C$245*(1-COS(2*$A246*PI()/180))</f>
        <v>0</v>
      </c>
      <c r="D246">
        <f aca="true" t="shared" si="20" ref="D246:D277">1/2*D$245*(1+COS(3*$A246*PI()/180))</f>
        <v>0</v>
      </c>
      <c r="E246">
        <f>SUM(B246:D246)</f>
        <v>0</v>
      </c>
    </row>
    <row r="247" spans="1:5" ht="12.75">
      <c r="A247">
        <v>-175</v>
      </c>
      <c r="B247">
        <f t="shared" si="18"/>
        <v>0.004038757180325866</v>
      </c>
      <c r="C247">
        <f t="shared" si="19"/>
        <v>-0.017161921809759336</v>
      </c>
      <c r="D247">
        <f t="shared" si="20"/>
        <v>0.016134121252126155</v>
      </c>
      <c r="E247">
        <f aca="true" t="shared" si="21" ref="E247:E310">SUM(B247:D247)</f>
        <v>0.0030109566226926843</v>
      </c>
    </row>
    <row r="248" spans="1:5" ht="12.75">
      <c r="A248">
        <v>-170</v>
      </c>
      <c r="B248">
        <f t="shared" si="18"/>
        <v>0.016124291340493018</v>
      </c>
      <c r="C248">
        <f t="shared" si="19"/>
        <v>-0.06812623092919855</v>
      </c>
      <c r="D248">
        <f t="shared" si="20"/>
        <v>0.06343697130806822</v>
      </c>
      <c r="E248">
        <f t="shared" si="21"/>
        <v>0.011435031719362693</v>
      </c>
    </row>
    <row r="249" spans="1:5" ht="12.75">
      <c r="A249">
        <v>-165</v>
      </c>
      <c r="B249">
        <f t="shared" si="18"/>
        <v>0.03616462426809747</v>
      </c>
      <c r="C249">
        <f t="shared" si="19"/>
        <v>-0.1513444026149092</v>
      </c>
      <c r="D249">
        <f t="shared" si="20"/>
        <v>0.13868493910816956</v>
      </c>
      <c r="E249">
        <f t="shared" si="21"/>
        <v>0.023505160761357835</v>
      </c>
    </row>
    <row r="250" spans="1:5" ht="12.75">
      <c r="A250">
        <v>-160</v>
      </c>
      <c r="B250">
        <f t="shared" si="18"/>
        <v>0.06400723692887621</v>
      </c>
      <c r="C250">
        <f t="shared" si="19"/>
        <v>-0.26428789483064674</v>
      </c>
      <c r="D250">
        <f t="shared" si="20"/>
        <v>0.23675000000000035</v>
      </c>
      <c r="E250">
        <f t="shared" si="21"/>
        <v>0.03646934209822983</v>
      </c>
    </row>
    <row r="251" spans="1:5" ht="12.75">
      <c r="A251">
        <v>-155</v>
      </c>
      <c r="B251">
        <f t="shared" si="18"/>
        <v>0.09944023022865159</v>
      </c>
      <c r="C251">
        <f t="shared" si="19"/>
        <v>-0.40352497671760096</v>
      </c>
      <c r="D251">
        <f t="shared" si="20"/>
        <v>0.35094918214395665</v>
      </c>
      <c r="E251">
        <f t="shared" si="21"/>
        <v>0.04686443565500731</v>
      </c>
    </row>
    <row r="252" spans="1:5" ht="12.75">
      <c r="A252">
        <v>-150</v>
      </c>
      <c r="B252">
        <f t="shared" si="18"/>
        <v>0.14219393769338598</v>
      </c>
      <c r="C252">
        <f t="shared" si="19"/>
        <v>-0.5648249999999999</v>
      </c>
      <c r="D252">
        <f t="shared" si="20"/>
        <v>0.4735000000000001</v>
      </c>
      <c r="E252">
        <f t="shared" si="21"/>
        <v>0.05086893769338613</v>
      </c>
    </row>
    <row r="253" spans="1:5" ht="12.75">
      <c r="A253">
        <v>-145</v>
      </c>
      <c r="B253">
        <f t="shared" si="18"/>
        <v>0.19194297779387878</v>
      </c>
      <c r="C253">
        <f t="shared" si="19"/>
        <v>-0.743286945092159</v>
      </c>
      <c r="D253">
        <f t="shared" si="20"/>
        <v>0.5960508178560435</v>
      </c>
      <c r="E253">
        <f t="shared" si="21"/>
        <v>0.044706850557763356</v>
      </c>
    </row>
    <row r="254" spans="1:5" ht="12.75">
      <c r="A254">
        <v>-140</v>
      </c>
      <c r="B254">
        <f t="shared" si="18"/>
        <v>0.2483087302956728</v>
      </c>
      <c r="C254">
        <f t="shared" si="19"/>
        <v>-0.9334883360985526</v>
      </c>
      <c r="D254">
        <f t="shared" si="20"/>
        <v>0.7102499999999998</v>
      </c>
      <c r="E254">
        <f t="shared" si="21"/>
        <v>0.025070394197119983</v>
      </c>
    </row>
    <row r="255" spans="1:5" ht="12.75">
      <c r="A255">
        <v>-135</v>
      </c>
      <c r="B255">
        <f t="shared" si="18"/>
        <v>0.3108622177876579</v>
      </c>
      <c r="C255">
        <f t="shared" si="19"/>
        <v>-1.1296500000000003</v>
      </c>
      <c r="D255">
        <f t="shared" si="20"/>
        <v>0.8083150608918306</v>
      </c>
      <c r="E255">
        <f t="shared" si="21"/>
        <v>-0.010472721320511802</v>
      </c>
    </row>
    <row r="256" spans="1:5" ht="12.75">
      <c r="A256">
        <v>-130</v>
      </c>
      <c r="B256">
        <f t="shared" si="18"/>
        <v>0.3791273704591914</v>
      </c>
      <c r="C256">
        <f t="shared" si="19"/>
        <v>-1.325811663901448</v>
      </c>
      <c r="D256">
        <f t="shared" si="20"/>
        <v>0.8835630286919318</v>
      </c>
      <c r="E256">
        <f t="shared" si="21"/>
        <v>-0.06312126475032465</v>
      </c>
    </row>
    <row r="257" spans="1:5" ht="12.75">
      <c r="A257">
        <v>-125</v>
      </c>
      <c r="B257">
        <f t="shared" si="18"/>
        <v>0.45258464927881753</v>
      </c>
      <c r="C257">
        <f t="shared" si="19"/>
        <v>-1.5160130549078423</v>
      </c>
      <c r="D257">
        <f t="shared" si="20"/>
        <v>0.9308658787478739</v>
      </c>
      <c r="E257">
        <f t="shared" si="21"/>
        <v>-0.132562526881151</v>
      </c>
    </row>
    <row r="258" spans="1:5" ht="12.75">
      <c r="A258">
        <v>-120</v>
      </c>
      <c r="B258">
        <f t="shared" si="18"/>
        <v>0.5306750000000002</v>
      </c>
      <c r="C258">
        <f t="shared" si="19"/>
        <v>-1.6944750000000006</v>
      </c>
      <c r="D258">
        <f t="shared" si="20"/>
        <v>0.947</v>
      </c>
      <c r="E258">
        <f t="shared" si="21"/>
        <v>-0.21680000000000044</v>
      </c>
    </row>
    <row r="259" spans="1:5" ht="12.75">
      <c r="A259">
        <v>-115</v>
      </c>
      <c r="B259">
        <f t="shared" si="18"/>
        <v>0.6128041079015089</v>
      </c>
      <c r="C259">
        <f t="shared" si="19"/>
        <v>-1.8557750232823993</v>
      </c>
      <c r="D259">
        <f t="shared" si="20"/>
        <v>0.9308658787478737</v>
      </c>
      <c r="E259">
        <f t="shared" si="21"/>
        <v>-0.3121050366330166</v>
      </c>
    </row>
    <row r="260" spans="1:5" ht="12.75">
      <c r="A260">
        <v>-110</v>
      </c>
      <c r="B260">
        <f t="shared" si="18"/>
        <v>0.6983469208813016</v>
      </c>
      <c r="C260">
        <f t="shared" si="19"/>
        <v>-1.9950121051693535</v>
      </c>
      <c r="D260">
        <f t="shared" si="20"/>
        <v>0.8835630286919315</v>
      </c>
      <c r="E260">
        <f t="shared" si="21"/>
        <v>-0.4131021555961204</v>
      </c>
    </row>
    <row r="261" spans="1:5" ht="12.75">
      <c r="A261">
        <v>-105</v>
      </c>
      <c r="B261">
        <f t="shared" si="18"/>
        <v>0.7866524064804395</v>
      </c>
      <c r="C261">
        <f t="shared" si="19"/>
        <v>-2.107955597385091</v>
      </c>
      <c r="D261">
        <f t="shared" si="20"/>
        <v>0.8083150608918301</v>
      </c>
      <c r="E261">
        <f t="shared" si="21"/>
        <v>-0.5129881300128214</v>
      </c>
    </row>
    <row r="262" spans="1:5" ht="12.75">
      <c r="A262">
        <v>-100</v>
      </c>
      <c r="B262">
        <f t="shared" si="18"/>
        <v>0.8770485066332036</v>
      </c>
      <c r="C262">
        <f t="shared" si="19"/>
        <v>-2.1911737690708017</v>
      </c>
      <c r="D262">
        <f t="shared" si="20"/>
        <v>0.7102499999999999</v>
      </c>
      <c r="E262">
        <f t="shared" si="21"/>
        <v>-0.6038752624375981</v>
      </c>
    </row>
    <row r="263" spans="1:5" ht="12.75">
      <c r="A263">
        <v>-95</v>
      </c>
      <c r="B263">
        <f t="shared" si="18"/>
        <v>0.9688472524347729</v>
      </c>
      <c r="C263">
        <f t="shared" si="19"/>
        <v>-2.242138078190241</v>
      </c>
      <c r="D263">
        <f t="shared" si="20"/>
        <v>0.5960508178560437</v>
      </c>
      <c r="E263">
        <f t="shared" si="21"/>
        <v>-0.6772400078994245</v>
      </c>
    </row>
    <row r="264" spans="1:5" ht="12.75">
      <c r="A264">
        <v>-90</v>
      </c>
      <c r="B264">
        <f t="shared" si="18"/>
        <v>1.06135</v>
      </c>
      <c r="C264">
        <f t="shared" si="19"/>
        <v>-2.2593</v>
      </c>
      <c r="D264">
        <f t="shared" si="20"/>
        <v>0.47349999999999987</v>
      </c>
      <c r="E264">
        <f t="shared" si="21"/>
        <v>-0.7244500000000003</v>
      </c>
    </row>
    <row r="265" spans="1:5" ht="12.75">
      <c r="A265">
        <v>-85</v>
      </c>
      <c r="B265">
        <f t="shared" si="18"/>
        <v>1.153852747565227</v>
      </c>
      <c r="C265">
        <f t="shared" si="19"/>
        <v>-2.242138078190241</v>
      </c>
      <c r="D265">
        <f t="shared" si="20"/>
        <v>0.3509491821439565</v>
      </c>
      <c r="E265">
        <f t="shared" si="21"/>
        <v>-0.7373361484810577</v>
      </c>
    </row>
    <row r="266" spans="1:5" ht="12.75">
      <c r="A266">
        <v>-80</v>
      </c>
      <c r="B266">
        <f t="shared" si="18"/>
        <v>1.2456514933667968</v>
      </c>
      <c r="C266">
        <f t="shared" si="19"/>
        <v>-2.1911737690708017</v>
      </c>
      <c r="D266">
        <f t="shared" si="20"/>
        <v>0.23674999999999977</v>
      </c>
      <c r="E266">
        <f t="shared" si="21"/>
        <v>-0.7087722757040051</v>
      </c>
    </row>
    <row r="267" spans="1:5" ht="12.75">
      <c r="A267">
        <v>-75</v>
      </c>
      <c r="B267">
        <f t="shared" si="18"/>
        <v>1.3360475935195604</v>
      </c>
      <c r="C267">
        <f t="shared" si="19"/>
        <v>-2.107955597385091</v>
      </c>
      <c r="D267">
        <f t="shared" si="20"/>
        <v>0.13868493910816967</v>
      </c>
      <c r="E267">
        <f t="shared" si="21"/>
        <v>-0.6332230647573611</v>
      </c>
    </row>
    <row r="268" spans="1:5" ht="12.75">
      <c r="A268">
        <v>-70</v>
      </c>
      <c r="B268">
        <f t="shared" si="18"/>
        <v>1.4243530791186987</v>
      </c>
      <c r="C268">
        <f t="shared" si="19"/>
        <v>-1.9950121051693535</v>
      </c>
      <c r="D268">
        <f t="shared" si="20"/>
        <v>0.06343697130806832</v>
      </c>
      <c r="E268">
        <f t="shared" si="21"/>
        <v>-0.5072220547425864</v>
      </c>
    </row>
    <row r="269" spans="1:5" ht="12.75">
      <c r="A269">
        <v>-65</v>
      </c>
      <c r="B269">
        <f t="shared" si="18"/>
        <v>1.5098958920984915</v>
      </c>
      <c r="C269">
        <f t="shared" si="19"/>
        <v>-1.855775023282399</v>
      </c>
      <c r="D269">
        <f t="shared" si="20"/>
        <v>0.016134121252126103</v>
      </c>
      <c r="E269">
        <f t="shared" si="21"/>
        <v>-0.32974500993178146</v>
      </c>
    </row>
    <row r="270" spans="1:5" ht="12.75">
      <c r="A270">
        <v>-60</v>
      </c>
      <c r="B270">
        <f t="shared" si="18"/>
        <v>1.592025</v>
      </c>
      <c r="C270">
        <f t="shared" si="19"/>
        <v>-1.6944749999999997</v>
      </c>
      <c r="D270">
        <f t="shared" si="20"/>
        <v>0</v>
      </c>
      <c r="E270">
        <f t="shared" si="21"/>
        <v>-0.10244999999999971</v>
      </c>
    </row>
    <row r="271" spans="1:5" ht="12.75">
      <c r="A271">
        <v>-55</v>
      </c>
      <c r="B271">
        <f t="shared" si="18"/>
        <v>1.6701153507211828</v>
      </c>
      <c r="C271">
        <f t="shared" si="19"/>
        <v>-1.5160130549078417</v>
      </c>
      <c r="D271">
        <f t="shared" si="20"/>
        <v>0.016134121252126207</v>
      </c>
      <c r="E271">
        <f t="shared" si="21"/>
        <v>0.17023641706546733</v>
      </c>
    </row>
    <row r="272" spans="1:5" ht="12.75">
      <c r="A272">
        <v>-50</v>
      </c>
      <c r="B272">
        <f t="shared" si="18"/>
        <v>1.7435726295408085</v>
      </c>
      <c r="C272">
        <f t="shared" si="19"/>
        <v>-1.325811663901448</v>
      </c>
      <c r="D272">
        <f t="shared" si="20"/>
        <v>0.06343697130806827</v>
      </c>
      <c r="E272">
        <f t="shared" si="21"/>
        <v>0.48119793694742885</v>
      </c>
    </row>
    <row r="273" spans="1:5" ht="12.75">
      <c r="A273">
        <v>-45</v>
      </c>
      <c r="B273">
        <f t="shared" si="18"/>
        <v>1.8118377822123422</v>
      </c>
      <c r="C273">
        <f t="shared" si="19"/>
        <v>-1.1296499999999998</v>
      </c>
      <c r="D273">
        <f t="shared" si="20"/>
        <v>0.13868493910816976</v>
      </c>
      <c r="E273">
        <f t="shared" si="21"/>
        <v>0.820872721320512</v>
      </c>
    </row>
    <row r="274" spans="1:5" ht="12.75">
      <c r="A274">
        <v>-40</v>
      </c>
      <c r="B274">
        <f t="shared" si="18"/>
        <v>1.8743912697043272</v>
      </c>
      <c r="C274">
        <f t="shared" si="19"/>
        <v>-0.9334883360985521</v>
      </c>
      <c r="D274">
        <f t="shared" si="20"/>
        <v>0.2367500000000001</v>
      </c>
      <c r="E274">
        <f t="shared" si="21"/>
        <v>1.1776529336057753</v>
      </c>
    </row>
    <row r="275" spans="1:5" ht="12.75">
      <c r="A275">
        <v>-35</v>
      </c>
      <c r="B275">
        <f t="shared" si="18"/>
        <v>1.9307570222061217</v>
      </c>
      <c r="C275">
        <f t="shared" si="19"/>
        <v>-0.7432869450921582</v>
      </c>
      <c r="D275">
        <f t="shared" si="20"/>
        <v>0.3509491821439564</v>
      </c>
      <c r="E275">
        <f t="shared" si="21"/>
        <v>1.5384192592579198</v>
      </c>
    </row>
    <row r="276" spans="1:5" ht="12.75">
      <c r="A276">
        <v>-30</v>
      </c>
      <c r="B276">
        <f t="shared" si="18"/>
        <v>1.9805060623066142</v>
      </c>
      <c r="C276">
        <f t="shared" si="19"/>
        <v>-0.5648249999999999</v>
      </c>
      <c r="D276">
        <f t="shared" si="20"/>
        <v>0.4735</v>
      </c>
      <c r="E276">
        <f t="shared" si="21"/>
        <v>1.8891810623066143</v>
      </c>
    </row>
    <row r="277" spans="1:5" ht="12.75">
      <c r="A277">
        <v>-25</v>
      </c>
      <c r="B277">
        <f t="shared" si="18"/>
        <v>2.0232597697713484</v>
      </c>
      <c r="C277">
        <f t="shared" si="19"/>
        <v>-0.40352497671760085</v>
      </c>
      <c r="D277">
        <f t="shared" si="20"/>
        <v>0.5960508178560435</v>
      </c>
      <c r="E277">
        <f t="shared" si="21"/>
        <v>2.215785610909791</v>
      </c>
    </row>
    <row r="278" spans="1:5" ht="12.75">
      <c r="A278">
        <v>-20</v>
      </c>
      <c r="B278">
        <f aca="true" t="shared" si="22" ref="B278:B309">1/2*B$245*(1+COS($A278*PI()/180))</f>
        <v>2.058692763071124</v>
      </c>
      <c r="C278">
        <f aca="true" t="shared" si="23" ref="C278:C309">1/2*C$245*(1-COS(2*$A278*PI()/180))</f>
        <v>-0.2642878948306465</v>
      </c>
      <c r="D278">
        <f aca="true" t="shared" si="24" ref="D278:D309">1/2*D$245*(1+COS(3*$A278*PI()/180))</f>
        <v>0.7102499999999999</v>
      </c>
      <c r="E278">
        <f t="shared" si="21"/>
        <v>2.5046548682404772</v>
      </c>
    </row>
    <row r="279" spans="1:5" ht="12.75">
      <c r="A279">
        <v>-15</v>
      </c>
      <c r="B279">
        <f t="shared" si="22"/>
        <v>2.0865353757319025</v>
      </c>
      <c r="C279">
        <f t="shared" si="23"/>
        <v>-0.1513444026149088</v>
      </c>
      <c r="D279">
        <f t="shared" si="24"/>
        <v>0.8083150608918301</v>
      </c>
      <c r="E279">
        <f t="shared" si="21"/>
        <v>2.7435060340088238</v>
      </c>
    </row>
    <row r="280" spans="1:5" ht="12.75">
      <c r="A280">
        <v>-10</v>
      </c>
      <c r="B280">
        <f t="shared" si="22"/>
        <v>2.106575708659507</v>
      </c>
      <c r="C280">
        <f t="shared" si="23"/>
        <v>-0.06812623092919855</v>
      </c>
      <c r="D280">
        <f t="shared" si="24"/>
        <v>0.8835630286919317</v>
      </c>
      <c r="E280">
        <f t="shared" si="21"/>
        <v>2.92201250642224</v>
      </c>
    </row>
    <row r="281" spans="1:5" ht="12.75">
      <c r="A281">
        <v>-5</v>
      </c>
      <c r="B281">
        <f t="shared" si="22"/>
        <v>2.118661242819674</v>
      </c>
      <c r="C281">
        <f t="shared" si="23"/>
        <v>-0.01716192180975921</v>
      </c>
      <c r="D281">
        <f t="shared" si="24"/>
        <v>0.9308658787478737</v>
      </c>
      <c r="E281">
        <f t="shared" si="21"/>
        <v>3.0323651997577885</v>
      </c>
    </row>
    <row r="282" spans="1:5" ht="12.75">
      <c r="A282">
        <v>0</v>
      </c>
      <c r="B282">
        <f t="shared" si="22"/>
        <v>2.1227</v>
      </c>
      <c r="C282">
        <f t="shared" si="23"/>
        <v>0</v>
      </c>
      <c r="D282">
        <f t="shared" si="24"/>
        <v>0.947</v>
      </c>
      <c r="E282">
        <f t="shared" si="21"/>
        <v>3.0697</v>
      </c>
    </row>
    <row r="283" spans="1:5" ht="12.75">
      <c r="A283">
        <v>5</v>
      </c>
      <c r="B283">
        <f t="shared" si="22"/>
        <v>2.118661242819674</v>
      </c>
      <c r="C283">
        <f t="shared" si="23"/>
        <v>-0.01716192180975921</v>
      </c>
      <c r="D283">
        <f t="shared" si="24"/>
        <v>0.9308658787478737</v>
      </c>
      <c r="E283">
        <f t="shared" si="21"/>
        <v>3.0323651997577885</v>
      </c>
    </row>
    <row r="284" spans="1:5" ht="12.75">
      <c r="A284">
        <v>10</v>
      </c>
      <c r="B284">
        <f t="shared" si="22"/>
        <v>2.106575708659507</v>
      </c>
      <c r="C284">
        <f t="shared" si="23"/>
        <v>-0.06812623092919855</v>
      </c>
      <c r="D284">
        <f t="shared" si="24"/>
        <v>0.8835630286919317</v>
      </c>
      <c r="E284">
        <f t="shared" si="21"/>
        <v>2.92201250642224</v>
      </c>
    </row>
    <row r="285" spans="1:5" ht="12.75">
      <c r="A285">
        <v>15</v>
      </c>
      <c r="B285">
        <f t="shared" si="22"/>
        <v>2.0865353757319025</v>
      </c>
      <c r="C285">
        <f t="shared" si="23"/>
        <v>-0.1513444026149088</v>
      </c>
      <c r="D285">
        <f t="shared" si="24"/>
        <v>0.8083150608918301</v>
      </c>
      <c r="E285">
        <f t="shared" si="21"/>
        <v>2.7435060340088238</v>
      </c>
    </row>
    <row r="286" spans="1:5" ht="12.75">
      <c r="A286">
        <v>20</v>
      </c>
      <c r="B286">
        <f t="shared" si="22"/>
        <v>2.058692763071124</v>
      </c>
      <c r="C286">
        <f t="shared" si="23"/>
        <v>-0.2642878948306465</v>
      </c>
      <c r="D286">
        <f t="shared" si="24"/>
        <v>0.7102499999999999</v>
      </c>
      <c r="E286">
        <f t="shared" si="21"/>
        <v>2.5046548682404772</v>
      </c>
    </row>
    <row r="287" spans="1:5" ht="12.75">
      <c r="A287">
        <v>25</v>
      </c>
      <c r="B287">
        <f t="shared" si="22"/>
        <v>2.0232597697713484</v>
      </c>
      <c r="C287">
        <f t="shared" si="23"/>
        <v>-0.40352497671760085</v>
      </c>
      <c r="D287">
        <f t="shared" si="24"/>
        <v>0.5960508178560435</v>
      </c>
      <c r="E287">
        <f t="shared" si="21"/>
        <v>2.215785610909791</v>
      </c>
    </row>
    <row r="288" spans="1:5" ht="12.75">
      <c r="A288">
        <v>30</v>
      </c>
      <c r="B288">
        <f t="shared" si="22"/>
        <v>1.9805060623066142</v>
      </c>
      <c r="C288">
        <f t="shared" si="23"/>
        <v>-0.5648249999999999</v>
      </c>
      <c r="D288">
        <f t="shared" si="24"/>
        <v>0.4735</v>
      </c>
      <c r="E288">
        <f t="shared" si="21"/>
        <v>1.8891810623066143</v>
      </c>
    </row>
    <row r="289" spans="1:5" ht="12.75">
      <c r="A289">
        <v>35</v>
      </c>
      <c r="B289">
        <f t="shared" si="22"/>
        <v>1.9307570222061217</v>
      </c>
      <c r="C289">
        <f t="shared" si="23"/>
        <v>-0.7432869450921582</v>
      </c>
      <c r="D289">
        <f t="shared" si="24"/>
        <v>0.3509491821439564</v>
      </c>
      <c r="E289">
        <f t="shared" si="21"/>
        <v>1.5384192592579198</v>
      </c>
    </row>
    <row r="290" spans="1:5" ht="12.75">
      <c r="A290">
        <v>40</v>
      </c>
      <c r="B290">
        <f t="shared" si="22"/>
        <v>1.8743912697043272</v>
      </c>
      <c r="C290">
        <f t="shared" si="23"/>
        <v>-0.9334883360985521</v>
      </c>
      <c r="D290">
        <f t="shared" si="24"/>
        <v>0.2367500000000001</v>
      </c>
      <c r="E290">
        <f t="shared" si="21"/>
        <v>1.1776529336057753</v>
      </c>
    </row>
    <row r="291" spans="1:5" ht="12.75">
      <c r="A291">
        <v>45</v>
      </c>
      <c r="B291">
        <f t="shared" si="22"/>
        <v>1.8118377822123422</v>
      </c>
      <c r="C291">
        <f t="shared" si="23"/>
        <v>-1.1296499999999998</v>
      </c>
      <c r="D291">
        <f t="shared" si="24"/>
        <v>0.13868493910816976</v>
      </c>
      <c r="E291">
        <f t="shared" si="21"/>
        <v>0.820872721320512</v>
      </c>
    </row>
    <row r="292" spans="1:5" ht="12.75">
      <c r="A292">
        <v>50</v>
      </c>
      <c r="B292">
        <f t="shared" si="22"/>
        <v>1.7435726295408085</v>
      </c>
      <c r="C292">
        <f t="shared" si="23"/>
        <v>-1.325811663901448</v>
      </c>
      <c r="D292">
        <f t="shared" si="24"/>
        <v>0.06343697130806827</v>
      </c>
      <c r="E292">
        <f t="shared" si="21"/>
        <v>0.48119793694742885</v>
      </c>
    </row>
    <row r="293" spans="1:5" ht="12.75">
      <c r="A293">
        <v>55</v>
      </c>
      <c r="B293">
        <f t="shared" si="22"/>
        <v>1.6701153507211828</v>
      </c>
      <c r="C293">
        <f t="shared" si="23"/>
        <v>-1.5160130549078417</v>
      </c>
      <c r="D293">
        <f t="shared" si="24"/>
        <v>0.016134121252126207</v>
      </c>
      <c r="E293">
        <f t="shared" si="21"/>
        <v>0.17023641706546733</v>
      </c>
    </row>
    <row r="294" spans="1:5" ht="12.75">
      <c r="A294">
        <v>60</v>
      </c>
      <c r="B294">
        <f t="shared" si="22"/>
        <v>1.592025</v>
      </c>
      <c r="C294">
        <f t="shared" si="23"/>
        <v>-1.6944749999999997</v>
      </c>
      <c r="D294">
        <f t="shared" si="24"/>
        <v>0</v>
      </c>
      <c r="E294">
        <f t="shared" si="21"/>
        <v>-0.10244999999999971</v>
      </c>
    </row>
    <row r="295" spans="1:5" ht="12.75">
      <c r="A295">
        <v>65</v>
      </c>
      <c r="B295">
        <f t="shared" si="22"/>
        <v>1.5098958920984915</v>
      </c>
      <c r="C295">
        <f t="shared" si="23"/>
        <v>-1.855775023282399</v>
      </c>
      <c r="D295">
        <f t="shared" si="24"/>
        <v>0.016134121252126103</v>
      </c>
      <c r="E295">
        <f t="shared" si="21"/>
        <v>-0.32974500993178146</v>
      </c>
    </row>
    <row r="296" spans="1:5" ht="12.75">
      <c r="A296">
        <v>70</v>
      </c>
      <c r="B296">
        <f t="shared" si="22"/>
        <v>1.4243530791186987</v>
      </c>
      <c r="C296">
        <f t="shared" si="23"/>
        <v>-1.9950121051693535</v>
      </c>
      <c r="D296">
        <f t="shared" si="24"/>
        <v>0.06343697130806832</v>
      </c>
      <c r="E296">
        <f t="shared" si="21"/>
        <v>-0.5072220547425864</v>
      </c>
    </row>
    <row r="297" spans="1:5" ht="12.75">
      <c r="A297">
        <v>75</v>
      </c>
      <c r="B297">
        <f t="shared" si="22"/>
        <v>1.3360475935195604</v>
      </c>
      <c r="C297">
        <f t="shared" si="23"/>
        <v>-2.107955597385091</v>
      </c>
      <c r="D297">
        <f t="shared" si="24"/>
        <v>0.13868493910816967</v>
      </c>
      <c r="E297">
        <f t="shared" si="21"/>
        <v>-0.6332230647573611</v>
      </c>
    </row>
    <row r="298" spans="1:5" ht="12.75">
      <c r="A298">
        <v>80</v>
      </c>
      <c r="B298">
        <f t="shared" si="22"/>
        <v>1.2456514933667968</v>
      </c>
      <c r="C298">
        <f t="shared" si="23"/>
        <v>-2.1911737690708017</v>
      </c>
      <c r="D298">
        <f t="shared" si="24"/>
        <v>0.23674999999999977</v>
      </c>
      <c r="E298">
        <f t="shared" si="21"/>
        <v>-0.7087722757040051</v>
      </c>
    </row>
    <row r="299" spans="1:5" ht="12.75">
      <c r="A299">
        <v>85</v>
      </c>
      <c r="B299">
        <f t="shared" si="22"/>
        <v>1.153852747565227</v>
      </c>
      <c r="C299">
        <f t="shared" si="23"/>
        <v>-2.242138078190241</v>
      </c>
      <c r="D299">
        <f t="shared" si="24"/>
        <v>0.3509491821439565</v>
      </c>
      <c r="E299">
        <f t="shared" si="21"/>
        <v>-0.7373361484810577</v>
      </c>
    </row>
    <row r="300" spans="1:5" ht="12.75">
      <c r="A300">
        <v>90</v>
      </c>
      <c r="B300">
        <f t="shared" si="22"/>
        <v>1.06135</v>
      </c>
      <c r="C300">
        <f t="shared" si="23"/>
        <v>-2.2593</v>
      </c>
      <c r="D300">
        <f t="shared" si="24"/>
        <v>0.47349999999999987</v>
      </c>
      <c r="E300">
        <f t="shared" si="21"/>
        <v>-0.7244500000000003</v>
      </c>
    </row>
    <row r="301" spans="1:5" ht="12.75">
      <c r="A301">
        <v>95</v>
      </c>
      <c r="B301">
        <f t="shared" si="22"/>
        <v>0.9688472524347729</v>
      </c>
      <c r="C301">
        <f t="shared" si="23"/>
        <v>-2.242138078190241</v>
      </c>
      <c r="D301">
        <f t="shared" si="24"/>
        <v>0.5960508178560437</v>
      </c>
      <c r="E301">
        <f t="shared" si="21"/>
        <v>-0.6772400078994245</v>
      </c>
    </row>
    <row r="302" spans="1:5" ht="12.75">
      <c r="A302">
        <v>100</v>
      </c>
      <c r="B302">
        <f t="shared" si="22"/>
        <v>0.8770485066332036</v>
      </c>
      <c r="C302">
        <f t="shared" si="23"/>
        <v>-2.1911737690708017</v>
      </c>
      <c r="D302">
        <f t="shared" si="24"/>
        <v>0.7102499999999999</v>
      </c>
      <c r="E302">
        <f t="shared" si="21"/>
        <v>-0.6038752624375981</v>
      </c>
    </row>
    <row r="303" spans="1:5" ht="12.75">
      <c r="A303">
        <v>105</v>
      </c>
      <c r="B303">
        <f t="shared" si="22"/>
        <v>0.7866524064804395</v>
      </c>
      <c r="C303">
        <f t="shared" si="23"/>
        <v>-2.107955597385091</v>
      </c>
      <c r="D303">
        <f t="shared" si="24"/>
        <v>0.8083150608918301</v>
      </c>
      <c r="E303">
        <f t="shared" si="21"/>
        <v>-0.5129881300128214</v>
      </c>
    </row>
    <row r="304" spans="1:5" ht="12.75">
      <c r="A304">
        <v>110</v>
      </c>
      <c r="B304">
        <f t="shared" si="22"/>
        <v>0.6983469208813016</v>
      </c>
      <c r="C304">
        <f t="shared" si="23"/>
        <v>-1.9950121051693535</v>
      </c>
      <c r="D304">
        <f t="shared" si="24"/>
        <v>0.8835630286919315</v>
      </c>
      <c r="E304">
        <f t="shared" si="21"/>
        <v>-0.4131021555961204</v>
      </c>
    </row>
    <row r="305" spans="1:5" ht="12.75">
      <c r="A305">
        <v>115</v>
      </c>
      <c r="B305">
        <f t="shared" si="22"/>
        <v>0.6128041079015089</v>
      </c>
      <c r="C305">
        <f t="shared" si="23"/>
        <v>-1.8557750232823993</v>
      </c>
      <c r="D305">
        <f t="shared" si="24"/>
        <v>0.9308658787478737</v>
      </c>
      <c r="E305">
        <f t="shared" si="21"/>
        <v>-0.3121050366330166</v>
      </c>
    </row>
    <row r="306" spans="1:5" ht="12.75">
      <c r="A306">
        <v>120</v>
      </c>
      <c r="B306">
        <f t="shared" si="22"/>
        <v>0.5306750000000002</v>
      </c>
      <c r="C306">
        <f t="shared" si="23"/>
        <v>-1.6944750000000006</v>
      </c>
      <c r="D306">
        <f t="shared" si="24"/>
        <v>0.947</v>
      </c>
      <c r="E306">
        <f t="shared" si="21"/>
        <v>-0.21680000000000044</v>
      </c>
    </row>
    <row r="307" spans="1:5" ht="12.75">
      <c r="A307">
        <v>125</v>
      </c>
      <c r="B307">
        <f t="shared" si="22"/>
        <v>0.45258464927881753</v>
      </c>
      <c r="C307">
        <f t="shared" si="23"/>
        <v>-1.5160130549078423</v>
      </c>
      <c r="D307">
        <f t="shared" si="24"/>
        <v>0.9308658787478739</v>
      </c>
      <c r="E307">
        <f t="shared" si="21"/>
        <v>-0.132562526881151</v>
      </c>
    </row>
    <row r="308" spans="1:5" ht="12.75">
      <c r="A308">
        <v>130</v>
      </c>
      <c r="B308">
        <f t="shared" si="22"/>
        <v>0.3791273704591914</v>
      </c>
      <c r="C308">
        <f t="shared" si="23"/>
        <v>-1.325811663901448</v>
      </c>
      <c r="D308">
        <f t="shared" si="24"/>
        <v>0.8835630286919318</v>
      </c>
      <c r="E308">
        <f t="shared" si="21"/>
        <v>-0.06312126475032465</v>
      </c>
    </row>
    <row r="309" spans="1:5" ht="12.75">
      <c r="A309">
        <v>135</v>
      </c>
      <c r="B309">
        <f t="shared" si="22"/>
        <v>0.3108622177876579</v>
      </c>
      <c r="C309">
        <f t="shared" si="23"/>
        <v>-1.1296500000000003</v>
      </c>
      <c r="D309">
        <f t="shared" si="24"/>
        <v>0.8083150608918306</v>
      </c>
      <c r="E309">
        <f t="shared" si="21"/>
        <v>-0.010472721320511802</v>
      </c>
    </row>
    <row r="310" spans="1:5" ht="12.75">
      <c r="A310">
        <v>140</v>
      </c>
      <c r="B310">
        <f aca="true" t="shared" si="25" ref="B310:B318">1/2*B$245*(1+COS($A310*PI()/180))</f>
        <v>0.2483087302956728</v>
      </c>
      <c r="C310">
        <f aca="true" t="shared" si="26" ref="C310:C318">1/2*C$245*(1-COS(2*$A310*PI()/180))</f>
        <v>-0.9334883360985526</v>
      </c>
      <c r="D310">
        <f aca="true" t="shared" si="27" ref="D310:D318">1/2*D$245*(1+COS(3*$A310*PI()/180))</f>
        <v>0.7102499999999998</v>
      </c>
      <c r="E310">
        <f t="shared" si="21"/>
        <v>0.025070394197119983</v>
      </c>
    </row>
    <row r="311" spans="1:5" ht="12.75">
      <c r="A311">
        <v>145</v>
      </c>
      <c r="B311">
        <f t="shared" si="25"/>
        <v>0.19194297779387878</v>
      </c>
      <c r="C311">
        <f t="shared" si="26"/>
        <v>-0.743286945092159</v>
      </c>
      <c r="D311">
        <f t="shared" si="27"/>
        <v>0.5960508178560435</v>
      </c>
      <c r="E311">
        <f aca="true" t="shared" si="28" ref="E311:E318">SUM(B311:D311)</f>
        <v>0.044706850557763356</v>
      </c>
    </row>
    <row r="312" spans="1:5" ht="12.75">
      <c r="A312">
        <v>150</v>
      </c>
      <c r="B312">
        <f t="shared" si="25"/>
        <v>0.14219393769338598</v>
      </c>
      <c r="C312">
        <f t="shared" si="26"/>
        <v>-0.5648249999999999</v>
      </c>
      <c r="D312">
        <f t="shared" si="27"/>
        <v>0.4735000000000001</v>
      </c>
      <c r="E312">
        <f t="shared" si="28"/>
        <v>0.05086893769338613</v>
      </c>
    </row>
    <row r="313" spans="1:5" ht="12.75">
      <c r="A313">
        <v>155</v>
      </c>
      <c r="B313">
        <f t="shared" si="25"/>
        <v>0.09944023022865159</v>
      </c>
      <c r="C313">
        <f t="shared" si="26"/>
        <v>-0.40352497671760096</v>
      </c>
      <c r="D313">
        <f t="shared" si="27"/>
        <v>0.35094918214395665</v>
      </c>
      <c r="E313">
        <f t="shared" si="28"/>
        <v>0.04686443565500731</v>
      </c>
    </row>
    <row r="314" spans="1:5" ht="12.75">
      <c r="A314">
        <v>160</v>
      </c>
      <c r="B314">
        <f t="shared" si="25"/>
        <v>0.06400723692887621</v>
      </c>
      <c r="C314">
        <f t="shared" si="26"/>
        <v>-0.26428789483064674</v>
      </c>
      <c r="D314">
        <f t="shared" si="27"/>
        <v>0.23675000000000035</v>
      </c>
      <c r="E314">
        <f t="shared" si="28"/>
        <v>0.03646934209822983</v>
      </c>
    </row>
    <row r="315" spans="1:5" ht="12.75">
      <c r="A315">
        <v>165</v>
      </c>
      <c r="B315">
        <f t="shared" si="25"/>
        <v>0.03616462426809747</v>
      </c>
      <c r="C315">
        <f t="shared" si="26"/>
        <v>-0.1513444026149092</v>
      </c>
      <c r="D315">
        <f t="shared" si="27"/>
        <v>0.13868493910816956</v>
      </c>
      <c r="E315">
        <f t="shared" si="28"/>
        <v>0.023505160761357835</v>
      </c>
    </row>
    <row r="316" spans="1:5" ht="12.75">
      <c r="A316">
        <v>170</v>
      </c>
      <c r="B316">
        <f t="shared" si="25"/>
        <v>0.016124291340493018</v>
      </c>
      <c r="C316">
        <f t="shared" si="26"/>
        <v>-0.06812623092919855</v>
      </c>
      <c r="D316">
        <f t="shared" si="27"/>
        <v>0.06343697130806822</v>
      </c>
      <c r="E316">
        <f t="shared" si="28"/>
        <v>0.011435031719362693</v>
      </c>
    </row>
    <row r="317" spans="1:5" ht="12.75">
      <c r="A317">
        <v>175</v>
      </c>
      <c r="B317">
        <f t="shared" si="25"/>
        <v>0.004038757180325866</v>
      </c>
      <c r="C317">
        <f t="shared" si="26"/>
        <v>-0.017161921809759336</v>
      </c>
      <c r="D317">
        <f t="shared" si="27"/>
        <v>0.016134121252126155</v>
      </c>
      <c r="E317">
        <f t="shared" si="28"/>
        <v>0.0030109566226926843</v>
      </c>
    </row>
    <row r="318" spans="1:5" ht="12.75">
      <c r="A318">
        <v>180</v>
      </c>
      <c r="B318">
        <f t="shared" si="25"/>
        <v>0</v>
      </c>
      <c r="C318">
        <f t="shared" si="26"/>
        <v>0</v>
      </c>
      <c r="D318">
        <f t="shared" si="27"/>
        <v>0</v>
      </c>
      <c r="E318">
        <f t="shared" si="28"/>
        <v>0</v>
      </c>
    </row>
  </sheetData>
  <mergeCells count="5">
    <mergeCell ref="A55:C55"/>
    <mergeCell ref="A5:B5"/>
    <mergeCell ref="A10:B10"/>
    <mergeCell ref="A11:B11"/>
    <mergeCell ref="A15:B15"/>
  </mergeCells>
  <hyperlinks>
    <hyperlink ref="A1" r:id="rId1" display="http://dx.doi.org/10.1016/j.jfluchem.2005.07.004"/>
    <hyperlink ref="A18" r:id="rId2" display="http://dx.doi.org/10.1039/b316395d"/>
    <hyperlink ref="B71" r:id="rId3" display="http://dx.doi.org/10.1063/1.472061"/>
    <hyperlink ref="B63" r:id="rId4" display="http://dx.doi.org/10.1063/1.445869 "/>
  </hyperlinks>
  <printOptions/>
  <pageMargins left="0.75" right="0.75" top="1" bottom="1" header="0.5" footer="0.5"/>
  <pageSetup horizontalDpi="300" verticalDpi="300" orientation="portrait" r:id="rId6"/>
  <drawing r:id="rId5"/>
</worksheet>
</file>

<file path=xl/worksheets/sheet2.xml><?xml version="1.0" encoding="utf-8"?>
<worksheet xmlns="http://schemas.openxmlformats.org/spreadsheetml/2006/main" xmlns:r="http://schemas.openxmlformats.org/officeDocument/2006/relationships">
  <dimension ref="A1:D60"/>
  <sheetViews>
    <sheetView workbookViewId="0" topLeftCell="A181">
      <selection activeCell="A206" sqref="A206"/>
    </sheetView>
  </sheetViews>
  <sheetFormatPr defaultColWidth="9.140625" defaultRowHeight="12.75"/>
  <cols>
    <col min="2" max="2" width="33.57421875" style="0" customWidth="1"/>
    <col min="3" max="3" width="54.57421875" style="6" customWidth="1"/>
  </cols>
  <sheetData>
    <row r="1" spans="1:3" ht="25.5">
      <c r="A1">
        <v>3</v>
      </c>
      <c r="B1" s="1" t="s">
        <v>154</v>
      </c>
      <c r="C1" s="6" t="s">
        <v>56</v>
      </c>
    </row>
    <row r="2" ht="12.75">
      <c r="C2"/>
    </row>
    <row r="3" spans="1:4" ht="14.25">
      <c r="A3" s="29" t="s">
        <v>57</v>
      </c>
      <c r="B3" s="30"/>
      <c r="C3" s="30"/>
      <c r="D3" s="30"/>
    </row>
    <row r="4" spans="1:4" ht="12.75">
      <c r="A4" s="31"/>
      <c r="B4" s="32"/>
      <c r="C4" s="32"/>
      <c r="D4" s="32"/>
    </row>
    <row r="5" spans="1:4" ht="51">
      <c r="A5" s="10" t="s">
        <v>58</v>
      </c>
      <c r="B5" s="11"/>
      <c r="C5" s="11"/>
      <c r="D5" s="12"/>
    </row>
    <row r="6" spans="1:4" ht="12.75">
      <c r="A6" s="10" t="s">
        <v>59</v>
      </c>
      <c r="B6" s="10" t="s">
        <v>60</v>
      </c>
      <c r="C6" s="10" t="s">
        <v>61</v>
      </c>
      <c r="D6" s="13"/>
    </row>
    <row r="7" spans="1:4" ht="12.75">
      <c r="A7" s="10" t="s">
        <v>62</v>
      </c>
      <c r="C7"/>
      <c r="D7" s="13"/>
    </row>
    <row r="8" spans="1:4" ht="12.75">
      <c r="A8" s="10" t="s">
        <v>8</v>
      </c>
      <c r="B8" s="10">
        <v>3.473</v>
      </c>
      <c r="C8" s="10">
        <v>0.3981</v>
      </c>
      <c r="D8" s="13"/>
    </row>
    <row r="9" spans="1:4" ht="12.75">
      <c r="A9" s="10" t="s">
        <v>9</v>
      </c>
      <c r="B9" s="10">
        <v>3.093</v>
      </c>
      <c r="C9" s="10">
        <v>0.3035</v>
      </c>
      <c r="D9" s="13"/>
    </row>
    <row r="10" spans="1:4" ht="12.75">
      <c r="A10" s="10" t="s">
        <v>3</v>
      </c>
      <c r="B10" s="10">
        <v>3.55</v>
      </c>
      <c r="C10" s="10">
        <v>1.0465</v>
      </c>
      <c r="D10" s="13"/>
    </row>
    <row r="11" spans="1:4" ht="12.75">
      <c r="A11" s="10" t="s">
        <v>63</v>
      </c>
      <c r="B11" s="10">
        <v>3.07</v>
      </c>
      <c r="C11" s="10">
        <v>0.7117</v>
      </c>
      <c r="D11" s="13"/>
    </row>
    <row r="12" spans="1:4" ht="25.5">
      <c r="A12" s="10" t="s">
        <v>64</v>
      </c>
      <c r="B12" s="10">
        <v>3.15</v>
      </c>
      <c r="C12" s="10">
        <v>0.8372</v>
      </c>
      <c r="D12" s="13"/>
    </row>
    <row r="13" spans="1:4" ht="25.5">
      <c r="A13" s="10" t="s">
        <v>65</v>
      </c>
      <c r="C13"/>
      <c r="D13" s="13"/>
    </row>
    <row r="14" spans="1:4" ht="12.75">
      <c r="A14" s="10" t="s">
        <v>66</v>
      </c>
      <c r="B14" s="10">
        <v>1.602</v>
      </c>
      <c r="C14" s="10" t="s">
        <v>67</v>
      </c>
      <c r="D14" s="10">
        <v>1.8</v>
      </c>
    </row>
    <row r="15" spans="1:4" ht="12.75">
      <c r="A15" s="10" t="s">
        <v>68</v>
      </c>
      <c r="B15" s="10">
        <v>1.37</v>
      </c>
      <c r="C15" s="10" t="s">
        <v>69</v>
      </c>
      <c r="D15" s="10">
        <v>1.49</v>
      </c>
    </row>
    <row r="16" spans="1:4" ht="12.75">
      <c r="A16" s="10" t="s">
        <v>70</v>
      </c>
      <c r="B16" s="10">
        <v>1.38</v>
      </c>
      <c r="C16" s="10"/>
      <c r="D16" s="10"/>
    </row>
    <row r="17" spans="1:4" ht="38.25">
      <c r="A17" s="10" t="s">
        <v>71</v>
      </c>
      <c r="C17"/>
      <c r="D17" s="13"/>
    </row>
    <row r="18" spans="1:4" ht="12.75">
      <c r="A18" s="10" t="s">
        <v>72</v>
      </c>
      <c r="B18" s="10">
        <v>109.6</v>
      </c>
      <c r="C18" s="10" t="s">
        <v>73</v>
      </c>
      <c r="D18" s="10">
        <v>112.6</v>
      </c>
    </row>
    <row r="19" spans="1:4" ht="12.75">
      <c r="A19" s="10" t="s">
        <v>74</v>
      </c>
      <c r="B19" s="10">
        <v>109.7</v>
      </c>
      <c r="C19" s="10" t="s">
        <v>75</v>
      </c>
      <c r="D19" s="10">
        <v>110.7</v>
      </c>
    </row>
    <row r="20" spans="1:4" ht="12.75">
      <c r="A20" s="10" t="s">
        <v>76</v>
      </c>
      <c r="B20" s="10">
        <v>109.5</v>
      </c>
      <c r="C20" s="10" t="s">
        <v>77</v>
      </c>
      <c r="D20" s="10">
        <v>106.75</v>
      </c>
    </row>
    <row r="21" spans="1:4" ht="12.75">
      <c r="A21" s="10" t="s">
        <v>78</v>
      </c>
      <c r="B21" s="10">
        <v>109.5</v>
      </c>
      <c r="C21" s="10" t="s">
        <v>79</v>
      </c>
      <c r="D21" s="10">
        <v>115</v>
      </c>
    </row>
    <row r="22" spans="1:4" ht="52.5">
      <c r="A22" s="10" t="s">
        <v>80</v>
      </c>
      <c r="C22"/>
      <c r="D22" s="13"/>
    </row>
    <row r="23" spans="1:4" ht="12.75">
      <c r="A23" s="10" t="s">
        <v>3</v>
      </c>
      <c r="B23" s="10">
        <v>1.4124</v>
      </c>
      <c r="C23">
        <v>1</v>
      </c>
      <c r="D23">
        <f aca="true" t="shared" si="0" ref="D23:D40">B23*C23</f>
        <v>1.4124</v>
      </c>
    </row>
    <row r="24" spans="1:4" ht="25.5">
      <c r="A24" s="10" t="s">
        <v>82</v>
      </c>
      <c r="B24" s="10">
        <v>-0.632</v>
      </c>
      <c r="C24">
        <v>3</v>
      </c>
      <c r="D24">
        <f t="shared" si="0"/>
        <v>-1.896</v>
      </c>
    </row>
    <row r="25" spans="1:4" ht="12.75">
      <c r="A25" s="10" t="s">
        <v>84</v>
      </c>
      <c r="B25" s="10">
        <v>0.3216</v>
      </c>
      <c r="C25">
        <v>1</v>
      </c>
      <c r="D25">
        <f t="shared" si="0"/>
        <v>0.3216</v>
      </c>
    </row>
    <row r="26" spans="1:4" ht="12.75">
      <c r="A26" s="10" t="s">
        <v>86</v>
      </c>
      <c r="B26" s="10">
        <v>-0.3278</v>
      </c>
      <c r="C26">
        <v>2</v>
      </c>
      <c r="D26">
        <f t="shared" si="0"/>
        <v>-0.6556</v>
      </c>
    </row>
    <row r="27" spans="1:4" ht="12.75">
      <c r="A27" s="10" t="s">
        <v>88</v>
      </c>
      <c r="B27" s="10">
        <v>0.3218</v>
      </c>
      <c r="C27">
        <v>1</v>
      </c>
      <c r="D27">
        <f t="shared" si="0"/>
        <v>0.3218</v>
      </c>
    </row>
    <row r="28" spans="1:4" ht="12.75">
      <c r="A28" s="10" t="s">
        <v>90</v>
      </c>
      <c r="B28" s="10">
        <v>-0.1662</v>
      </c>
      <c r="C28">
        <v>2</v>
      </c>
      <c r="D28">
        <f t="shared" si="0"/>
        <v>-0.3324</v>
      </c>
    </row>
    <row r="29" spans="1:4" ht="12.75">
      <c r="A29" s="10" t="s">
        <v>92</v>
      </c>
      <c r="B29" s="10">
        <v>-0.2604</v>
      </c>
      <c r="C29">
        <v>1</v>
      </c>
      <c r="D29">
        <f t="shared" si="0"/>
        <v>-0.2604</v>
      </c>
    </row>
    <row r="30" spans="1:4" ht="12.75">
      <c r="A30" s="10" t="s">
        <v>94</v>
      </c>
      <c r="B30" s="10">
        <v>0.401</v>
      </c>
      <c r="C30">
        <v>1</v>
      </c>
      <c r="D30">
        <f t="shared" si="0"/>
        <v>0.401</v>
      </c>
    </row>
    <row r="31" spans="1:4" ht="12.75">
      <c r="A31" s="10" t="s">
        <v>96</v>
      </c>
      <c r="B31" s="10">
        <v>0.3846</v>
      </c>
      <c r="C31">
        <v>0</v>
      </c>
      <c r="D31">
        <f t="shared" si="0"/>
        <v>0</v>
      </c>
    </row>
    <row r="32" spans="1:4" ht="12.75">
      <c r="A32" s="10" t="s">
        <v>81</v>
      </c>
      <c r="B32" s="10">
        <v>-0.1913</v>
      </c>
      <c r="C32">
        <v>1</v>
      </c>
      <c r="D32">
        <f t="shared" si="0"/>
        <v>-0.1913</v>
      </c>
    </row>
    <row r="33" spans="1:4" ht="12.75">
      <c r="A33" s="10" t="s">
        <v>83</v>
      </c>
      <c r="B33" s="10">
        <v>0.4947</v>
      </c>
      <c r="C33">
        <v>1</v>
      </c>
      <c r="D33">
        <f t="shared" si="0"/>
        <v>0.4947</v>
      </c>
    </row>
    <row r="34" spans="1:4" ht="12.75">
      <c r="A34" s="10" t="s">
        <v>85</v>
      </c>
      <c r="B34" s="10">
        <v>-0.1649</v>
      </c>
      <c r="C34">
        <v>3</v>
      </c>
      <c r="D34">
        <f t="shared" si="0"/>
        <v>-0.4947</v>
      </c>
    </row>
    <row r="35" spans="1:4" ht="12.75">
      <c r="A35" s="10" t="s">
        <v>87</v>
      </c>
      <c r="B35" s="10">
        <v>0.3228</v>
      </c>
      <c r="C35">
        <v>1</v>
      </c>
      <c r="D35">
        <f t="shared" si="0"/>
        <v>0.3228</v>
      </c>
    </row>
    <row r="36" spans="1:4" ht="12.75">
      <c r="A36" s="10" t="s">
        <v>89</v>
      </c>
      <c r="B36" s="10">
        <v>-0.1637</v>
      </c>
      <c r="C36">
        <v>2</v>
      </c>
      <c r="D36">
        <f t="shared" si="0"/>
        <v>-0.3274</v>
      </c>
    </row>
    <row r="37" spans="1:4" ht="12.75">
      <c r="A37" s="10" t="s">
        <v>91</v>
      </c>
      <c r="B37" s="10">
        <v>-0.2742</v>
      </c>
      <c r="C37">
        <v>1</v>
      </c>
      <c r="D37">
        <f t="shared" si="0"/>
        <v>-0.2742</v>
      </c>
    </row>
    <row r="38" spans="1:4" ht="12.75">
      <c r="A38" s="10" t="s">
        <v>93</v>
      </c>
      <c r="B38" s="10">
        <v>0.3218</v>
      </c>
      <c r="C38">
        <v>1</v>
      </c>
      <c r="D38">
        <f t="shared" si="0"/>
        <v>0.3218</v>
      </c>
    </row>
    <row r="39" spans="1:4" ht="12.75">
      <c r="A39" s="10" t="s">
        <v>95</v>
      </c>
      <c r="B39" s="10">
        <v>-0.1641</v>
      </c>
      <c r="C39">
        <v>1</v>
      </c>
      <c r="D39">
        <f t="shared" si="0"/>
        <v>-0.1641</v>
      </c>
    </row>
    <row r="40" spans="1:4" ht="12.75">
      <c r="A40" s="10" t="s">
        <v>97</v>
      </c>
      <c r="B40" s="10">
        <v>-0.1923</v>
      </c>
      <c r="C40">
        <v>0</v>
      </c>
      <c r="D40">
        <f t="shared" si="0"/>
        <v>0</v>
      </c>
    </row>
    <row r="41" spans="3:4" ht="12.75">
      <c r="C41" t="s">
        <v>107</v>
      </c>
      <c r="D41">
        <f>SUM(D23:D40)</f>
        <v>-0.9999999999999998</v>
      </c>
    </row>
    <row r="42" spans="1:3" ht="14.25">
      <c r="A42" s="14" t="s">
        <v>98</v>
      </c>
      <c r="C42"/>
    </row>
    <row r="43" spans="1:3" ht="81.75" customHeight="1">
      <c r="A43" s="26" t="s">
        <v>99</v>
      </c>
      <c r="B43" s="26"/>
      <c r="C43" s="26"/>
    </row>
    <row r="44" spans="1:3" ht="144.75" customHeight="1">
      <c r="A44" s="26" t="s">
        <v>100</v>
      </c>
      <c r="B44" s="33"/>
      <c r="C44" s="33"/>
    </row>
    <row r="45" spans="1:3" ht="12.75">
      <c r="A45" s="6"/>
      <c r="C45"/>
    </row>
    <row r="46" spans="1:3" ht="72" customHeight="1">
      <c r="A46" s="26" t="s">
        <v>155</v>
      </c>
      <c r="B46" s="26"/>
      <c r="C46" s="26"/>
    </row>
    <row r="48" ht="12.75">
      <c r="A48" t="s">
        <v>182</v>
      </c>
    </row>
    <row r="49" spans="1:2" ht="12.75">
      <c r="A49" t="s">
        <v>183</v>
      </c>
      <c r="B49">
        <v>1</v>
      </c>
    </row>
    <row r="50" spans="1:2" ht="12.75">
      <c r="A50" t="s">
        <v>184</v>
      </c>
      <c r="B50">
        <v>109.47122</v>
      </c>
    </row>
    <row r="51" spans="1:2" ht="12.75">
      <c r="A51" t="s">
        <v>160</v>
      </c>
      <c r="B51">
        <v>-0.8476</v>
      </c>
    </row>
    <row r="52" spans="1:2" ht="12.75">
      <c r="A52" t="s">
        <v>161</v>
      </c>
      <c r="B52">
        <v>0.4238</v>
      </c>
    </row>
    <row r="53" spans="1:4" ht="12.75">
      <c r="A53" t="s">
        <v>185</v>
      </c>
      <c r="B53">
        <v>628937.6</v>
      </c>
      <c r="C53" s="6">
        <v>0.37122</v>
      </c>
      <c r="D53" t="s">
        <v>187</v>
      </c>
    </row>
    <row r="54" spans="1:4" ht="12.75">
      <c r="A54" t="s">
        <v>186</v>
      </c>
      <c r="B54">
        <v>625</v>
      </c>
      <c r="C54" s="6">
        <v>0.3428</v>
      </c>
      <c r="D54" t="s">
        <v>188</v>
      </c>
    </row>
    <row r="56" spans="1:3" ht="12.75">
      <c r="A56" t="s">
        <v>377</v>
      </c>
      <c r="C56" s="24" t="s">
        <v>378</v>
      </c>
    </row>
    <row r="57" spans="1:3" ht="12.75">
      <c r="A57" t="s">
        <v>224</v>
      </c>
      <c r="C57" s="24" t="s">
        <v>379</v>
      </c>
    </row>
    <row r="58" ht="12.75">
      <c r="C58" s="25" t="s">
        <v>380</v>
      </c>
    </row>
    <row r="59" ht="12.75">
      <c r="C59" s="6" t="s">
        <v>381</v>
      </c>
    </row>
    <row r="60" ht="25.5">
      <c r="C60" s="6" t="s">
        <v>382</v>
      </c>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sheetData>
  <mergeCells count="5">
    <mergeCell ref="A43:C43"/>
    <mergeCell ref="A46:C46"/>
    <mergeCell ref="A3:D3"/>
    <mergeCell ref="A4:D4"/>
    <mergeCell ref="A44:C44"/>
  </mergeCells>
  <hyperlinks>
    <hyperlink ref="B1" r:id="rId1" display="http://dx.doi.org/10.1021/jp004082p"/>
  </hyperlinks>
  <printOptions/>
  <pageMargins left="0.75" right="0.75" top="1" bottom="1" header="0.5" footer="0.5"/>
  <pageSetup horizontalDpi="300" verticalDpi="300" orientation="portrait" r:id="rId3"/>
  <drawing r:id="rId2"/>
</worksheet>
</file>

<file path=xl/worksheets/sheet3.xml><?xml version="1.0" encoding="utf-8"?>
<worksheet xmlns="http://schemas.openxmlformats.org/spreadsheetml/2006/main" xmlns:r="http://schemas.openxmlformats.org/officeDocument/2006/relationships">
  <dimension ref="A1:P67"/>
  <sheetViews>
    <sheetView workbookViewId="0" topLeftCell="A3">
      <selection activeCell="L64" sqref="L64"/>
    </sheetView>
  </sheetViews>
  <sheetFormatPr defaultColWidth="9.140625" defaultRowHeight="12.75"/>
  <cols>
    <col min="1" max="1" width="25.57421875" style="0" customWidth="1"/>
    <col min="3" max="3" width="14.00390625" style="0" customWidth="1"/>
    <col min="4" max="4" width="11.00390625" style="0" customWidth="1"/>
    <col min="5" max="5" width="13.421875" style="0" customWidth="1"/>
    <col min="6" max="6" width="10.140625" style="0" bestFit="1" customWidth="1"/>
  </cols>
  <sheetData>
    <row r="1" spans="1:4" ht="12.75">
      <c r="A1" t="s">
        <v>117</v>
      </c>
      <c r="B1" t="s">
        <v>118</v>
      </c>
      <c r="D1" t="s">
        <v>114</v>
      </c>
    </row>
    <row r="2" spans="1:7" ht="12.75">
      <c r="A2" t="s">
        <v>101</v>
      </c>
      <c r="B2" t="s">
        <v>108</v>
      </c>
      <c r="D2" t="s">
        <v>119</v>
      </c>
      <c r="G2" t="s">
        <v>140</v>
      </c>
    </row>
    <row r="3" spans="1:6" ht="12.75">
      <c r="A3" t="s">
        <v>102</v>
      </c>
      <c r="B3" t="s">
        <v>104</v>
      </c>
      <c r="C3" t="s">
        <v>105</v>
      </c>
      <c r="E3" t="s">
        <v>115</v>
      </c>
      <c r="F3" t="s">
        <v>116</v>
      </c>
    </row>
    <row r="4" spans="1:10" ht="12.75">
      <c r="A4" t="s">
        <v>103</v>
      </c>
      <c r="B4">
        <v>-0.6142</v>
      </c>
      <c r="C4">
        <v>3</v>
      </c>
      <c r="D4">
        <f aca="true" t="shared" si="0" ref="D4:D23">B4*C4</f>
        <v>-1.8426</v>
      </c>
      <c r="F4" t="s">
        <v>119</v>
      </c>
      <c r="G4" t="s">
        <v>8</v>
      </c>
      <c r="H4">
        <v>0.5669</v>
      </c>
      <c r="I4">
        <v>14</v>
      </c>
      <c r="J4">
        <f>H4*I4</f>
        <v>7.936599999999999</v>
      </c>
    </row>
    <row r="5" spans="1:10" ht="12.75">
      <c r="A5" t="s">
        <v>3</v>
      </c>
      <c r="B5">
        <v>1.0817</v>
      </c>
      <c r="C5">
        <v>1</v>
      </c>
      <c r="D5">
        <f t="shared" si="0"/>
        <v>1.0817</v>
      </c>
      <c r="F5" t="s">
        <v>119</v>
      </c>
      <c r="G5" t="s">
        <v>9</v>
      </c>
      <c r="H5">
        <v>-0.2478</v>
      </c>
      <c r="I5">
        <v>28</v>
      </c>
      <c r="J5">
        <f>H5*I5</f>
        <v>-6.9384</v>
      </c>
    </row>
    <row r="6" spans="1:10" ht="12.75">
      <c r="A6" t="s">
        <v>8</v>
      </c>
      <c r="B6">
        <v>0.3081</v>
      </c>
      <c r="C6">
        <v>1</v>
      </c>
      <c r="D6">
        <f t="shared" si="0"/>
        <v>0.3081</v>
      </c>
      <c r="F6" t="s">
        <v>119</v>
      </c>
      <c r="J6">
        <f>SUM(J4:J5)</f>
        <v>0.9981999999999998</v>
      </c>
    </row>
    <row r="7" spans="1:6" ht="12.75">
      <c r="A7" t="s">
        <v>9</v>
      </c>
      <c r="B7">
        <v>-0.3147</v>
      </c>
      <c r="C7">
        <v>2</v>
      </c>
      <c r="D7">
        <f t="shared" si="0"/>
        <v>-0.6294</v>
      </c>
      <c r="F7" t="s">
        <v>119</v>
      </c>
    </row>
    <row r="8" spans="1:6" ht="12.75">
      <c r="A8" t="s">
        <v>8</v>
      </c>
      <c r="B8">
        <v>0.8398</v>
      </c>
      <c r="C8">
        <v>1</v>
      </c>
      <c r="D8">
        <f t="shared" si="0"/>
        <v>0.8398</v>
      </c>
      <c r="F8" t="s">
        <v>119</v>
      </c>
    </row>
    <row r="9" spans="1:6" ht="12.75">
      <c r="A9" t="s">
        <v>9</v>
      </c>
      <c r="B9">
        <v>-0.2423</v>
      </c>
      <c r="C9">
        <v>2</v>
      </c>
      <c r="D9">
        <f t="shared" si="0"/>
        <v>-0.4846</v>
      </c>
      <c r="F9" t="s">
        <v>119</v>
      </c>
    </row>
    <row r="10" spans="1:6" ht="12.75">
      <c r="A10" t="s">
        <v>106</v>
      </c>
      <c r="B10">
        <v>-0.5416</v>
      </c>
      <c r="C10">
        <v>1</v>
      </c>
      <c r="D10">
        <f t="shared" si="0"/>
        <v>-0.5416</v>
      </c>
      <c r="F10" t="s">
        <v>119</v>
      </c>
    </row>
    <row r="11" spans="1:6" ht="12.75">
      <c r="A11" t="s">
        <v>8</v>
      </c>
      <c r="B11">
        <v>0.8432</v>
      </c>
      <c r="C11">
        <v>1</v>
      </c>
      <c r="D11">
        <f t="shared" si="0"/>
        <v>0.8432</v>
      </c>
      <c r="F11" t="s">
        <v>119</v>
      </c>
    </row>
    <row r="12" spans="1:6" ht="12.75">
      <c r="A12" t="s">
        <v>9</v>
      </c>
      <c r="B12">
        <v>-0.2559</v>
      </c>
      <c r="C12">
        <v>3</v>
      </c>
      <c r="D12">
        <f t="shared" si="0"/>
        <v>-0.7677</v>
      </c>
      <c r="F12" t="s">
        <v>119</v>
      </c>
    </row>
    <row r="13" spans="1:6" ht="12.75">
      <c r="A13" t="s">
        <v>8</v>
      </c>
      <c r="B13">
        <v>0.4118</v>
      </c>
      <c r="C13">
        <v>1</v>
      </c>
      <c r="D13">
        <f t="shared" si="0"/>
        <v>0.4118</v>
      </c>
      <c r="F13" t="s">
        <v>119</v>
      </c>
    </row>
    <row r="14" spans="1:6" ht="12.75">
      <c r="A14" t="s">
        <v>9</v>
      </c>
      <c r="B14">
        <v>-0.2695</v>
      </c>
      <c r="C14">
        <v>1</v>
      </c>
      <c r="D14">
        <f t="shared" si="0"/>
        <v>-0.2695</v>
      </c>
      <c r="F14" t="s">
        <v>119</v>
      </c>
    </row>
    <row r="15" spans="1:6" ht="12.75">
      <c r="A15" t="s">
        <v>8</v>
      </c>
      <c r="B15">
        <v>0.8421</v>
      </c>
      <c r="C15">
        <v>1</v>
      </c>
      <c r="D15">
        <f t="shared" si="0"/>
        <v>0.8421</v>
      </c>
      <c r="F15" t="s">
        <v>119</v>
      </c>
    </row>
    <row r="16" spans="1:6" ht="12.75">
      <c r="A16" t="s">
        <v>9</v>
      </c>
      <c r="B16">
        <v>-0.2646</v>
      </c>
      <c r="C16">
        <v>2</v>
      </c>
      <c r="D16">
        <f t="shared" si="0"/>
        <v>-0.5292</v>
      </c>
      <c r="F16" t="s">
        <v>119</v>
      </c>
    </row>
    <row r="17" spans="1:6" ht="12.75">
      <c r="A17" t="s">
        <v>106</v>
      </c>
      <c r="B17">
        <v>-0.487</v>
      </c>
      <c r="C17">
        <v>1</v>
      </c>
      <c r="D17">
        <f t="shared" si="0"/>
        <v>-0.487</v>
      </c>
      <c r="F17" t="s">
        <v>119</v>
      </c>
    </row>
    <row r="18" spans="1:6" ht="12.75">
      <c r="A18" t="s">
        <v>8</v>
      </c>
      <c r="B18">
        <v>0.4611</v>
      </c>
      <c r="C18">
        <v>1</v>
      </c>
      <c r="D18">
        <f t="shared" si="0"/>
        <v>0.4611</v>
      </c>
      <c r="F18" t="s">
        <v>119</v>
      </c>
    </row>
    <row r="19" spans="1:6" ht="12.75">
      <c r="A19" t="s">
        <v>9</v>
      </c>
      <c r="B19">
        <v>-0.2502</v>
      </c>
      <c r="C19">
        <v>1</v>
      </c>
      <c r="D19">
        <f t="shared" si="0"/>
        <v>-0.2502</v>
      </c>
      <c r="F19" t="s">
        <v>119</v>
      </c>
    </row>
    <row r="20" spans="1:6" ht="12.75">
      <c r="A20" t="s">
        <v>8</v>
      </c>
      <c r="B20">
        <v>0.5004</v>
      </c>
      <c r="C20">
        <v>1</v>
      </c>
      <c r="D20">
        <f t="shared" si="0"/>
        <v>0.5004</v>
      </c>
      <c r="F20" t="s">
        <v>119</v>
      </c>
    </row>
    <row r="21" spans="1:6" ht="12.75">
      <c r="A21" t="s">
        <v>9</v>
      </c>
      <c r="B21">
        <v>-0.2436</v>
      </c>
      <c r="C21">
        <v>2</v>
      </c>
      <c r="D21">
        <f t="shared" si="0"/>
        <v>-0.4872</v>
      </c>
      <c r="F21" t="s">
        <v>119</v>
      </c>
    </row>
    <row r="22" spans="1:6" ht="12.75">
      <c r="A22" t="s">
        <v>8</v>
      </c>
      <c r="B22">
        <v>0.5669</v>
      </c>
      <c r="C22">
        <v>14</v>
      </c>
      <c r="D22">
        <f t="shared" si="0"/>
        <v>7.936599999999999</v>
      </c>
      <c r="F22" t="s">
        <v>119</v>
      </c>
    </row>
    <row r="23" spans="1:6" ht="12.75">
      <c r="A23" t="s">
        <v>9</v>
      </c>
      <c r="B23">
        <v>-0.2478</v>
      </c>
      <c r="C23">
        <v>28</v>
      </c>
      <c r="D23">
        <f t="shared" si="0"/>
        <v>-6.9384</v>
      </c>
      <c r="F23" t="s">
        <v>119</v>
      </c>
    </row>
    <row r="24" spans="1:6" ht="12.75">
      <c r="A24" t="s">
        <v>107</v>
      </c>
      <c r="D24" s="15">
        <f>SUM(D4:D23)</f>
        <v>-0.0026000000000001577</v>
      </c>
      <c r="E24" t="s">
        <v>142</v>
      </c>
      <c r="F24" s="18">
        <f>D24-J6</f>
        <v>-1.0008</v>
      </c>
    </row>
    <row r="26" spans="1:8" ht="12.75">
      <c r="A26" t="s">
        <v>189</v>
      </c>
      <c r="B26" t="s">
        <v>176</v>
      </c>
      <c r="C26" t="s">
        <v>177</v>
      </c>
      <c r="D26" t="s">
        <v>178</v>
      </c>
      <c r="E26" t="s">
        <v>194</v>
      </c>
      <c r="F26" t="s">
        <v>179</v>
      </c>
      <c r="G26" t="s">
        <v>180</v>
      </c>
      <c r="H26" t="s">
        <v>181</v>
      </c>
    </row>
    <row r="27" spans="1:7" ht="12.75">
      <c r="A27" t="s">
        <v>174</v>
      </c>
      <c r="B27">
        <v>0.41</v>
      </c>
      <c r="C27">
        <v>0.1848</v>
      </c>
      <c r="D27">
        <v>3.5532</v>
      </c>
      <c r="E27">
        <f>D27*2^(-1/6)</f>
        <v>3.1655413252962536</v>
      </c>
      <c r="F27">
        <v>748407</v>
      </c>
      <c r="G27">
        <v>743.8</v>
      </c>
    </row>
    <row r="28" spans="1:7" ht="12.75">
      <c r="A28" t="s">
        <v>175</v>
      </c>
      <c r="B28">
        <v>-0.82</v>
      </c>
      <c r="C28">
        <v>0.01</v>
      </c>
      <c r="D28">
        <v>0.9</v>
      </c>
      <c r="E28">
        <f>D28*2^(-1/6)</f>
        <v>0.8018088463263053</v>
      </c>
      <c r="F28">
        <v>0.0028</v>
      </c>
      <c r="G28">
        <v>0.0106</v>
      </c>
    </row>
    <row r="29" spans="1:3" ht="12.75">
      <c r="A29" t="s">
        <v>190</v>
      </c>
      <c r="B29" t="s">
        <v>191</v>
      </c>
      <c r="C29" t="s">
        <v>192</v>
      </c>
    </row>
    <row r="30" spans="1:3" ht="12.75">
      <c r="A30" t="s">
        <v>193</v>
      </c>
      <c r="B30">
        <v>500</v>
      </c>
      <c r="C30">
        <v>1</v>
      </c>
    </row>
    <row r="31" spans="1:3" ht="12.75">
      <c r="A31" t="s">
        <v>195</v>
      </c>
      <c r="B31">
        <v>120</v>
      </c>
      <c r="C31">
        <v>109.47</v>
      </c>
    </row>
    <row r="33" spans="1:13" ht="12.75">
      <c r="A33" t="s">
        <v>315</v>
      </c>
      <c r="I33" t="s">
        <v>330</v>
      </c>
      <c r="M33" t="s">
        <v>335</v>
      </c>
    </row>
    <row r="34" spans="1:13" ht="12.75">
      <c r="A34" t="s">
        <v>237</v>
      </c>
      <c r="B34" t="s">
        <v>324</v>
      </c>
      <c r="C34" t="s">
        <v>194</v>
      </c>
      <c r="D34" t="s">
        <v>316</v>
      </c>
      <c r="E34" t="s">
        <v>317</v>
      </c>
      <c r="F34" t="s">
        <v>318</v>
      </c>
      <c r="G34" t="s">
        <v>319</v>
      </c>
      <c r="H34" t="s">
        <v>320</v>
      </c>
      <c r="I34" t="s">
        <v>317</v>
      </c>
      <c r="J34" t="s">
        <v>331</v>
      </c>
      <c r="K34" t="s">
        <v>319</v>
      </c>
      <c r="L34" t="s">
        <v>320</v>
      </c>
      <c r="M34" t="s">
        <v>317</v>
      </c>
    </row>
    <row r="35" spans="2:7" ht="12.75">
      <c r="B35">
        <v>0.0496</v>
      </c>
      <c r="C35">
        <v>3.02487</v>
      </c>
      <c r="E35">
        <v>8072.64</v>
      </c>
      <c r="F35">
        <v>0.282942</v>
      </c>
      <c r="G35">
        <v>151.98</v>
      </c>
    </row>
    <row r="36" spans="1:12" ht="12.75">
      <c r="A36">
        <v>1.5</v>
      </c>
      <c r="B36">
        <v>0.0496</v>
      </c>
      <c r="C36">
        <v>3.02487</v>
      </c>
      <c r="D36">
        <f>4*B35*((C36/A36)^12-(C36/A36)^6)</f>
        <v>883.9358257166391</v>
      </c>
      <c r="E36">
        <v>8072.64</v>
      </c>
      <c r="F36">
        <v>0.282942</v>
      </c>
      <c r="G36">
        <v>151.98</v>
      </c>
      <c r="H36">
        <f>E36*EXP(-A36/F36)-G36/A36^6</f>
        <v>26.89481085184027</v>
      </c>
      <c r="I36">
        <v>9705.742382550236</v>
      </c>
      <c r="J36">
        <v>0.2894334170535198</v>
      </c>
      <c r="K36">
        <v>209.36519232380235</v>
      </c>
      <c r="L36">
        <f>I36*EXP(-A36/J36)-K36/A36^6</f>
        <v>36.10497742924731</v>
      </c>
    </row>
    <row r="37" spans="1:12" ht="12.75">
      <c r="A37">
        <v>1.6</v>
      </c>
      <c r="B37">
        <v>0.0496</v>
      </c>
      <c r="C37">
        <v>3.02487</v>
      </c>
      <c r="D37">
        <f aca="true" t="shared" si="1" ref="D37:D61">4*B36*((C37/A37)^12-(C37/A37)^6)</f>
        <v>404.5432102005359</v>
      </c>
      <c r="E37">
        <v>8072.64</v>
      </c>
      <c r="F37">
        <v>0.282942</v>
      </c>
      <c r="G37">
        <v>151.98</v>
      </c>
      <c r="H37">
        <f aca="true" t="shared" si="2" ref="H37:H61">E37*EXP(-A37/F37)-G37/A37^6</f>
        <v>19.199004812884993</v>
      </c>
      <c r="I37">
        <v>9705.742382550236</v>
      </c>
      <c r="J37">
        <v>0.2894334170535198</v>
      </c>
      <c r="K37">
        <v>209.36519232380235</v>
      </c>
      <c r="L37">
        <f aca="true" t="shared" si="3" ref="L37:L60">I37*EXP(-A37/J37)-K37/A37^6</f>
        <v>26.089184761340967</v>
      </c>
    </row>
    <row r="38" spans="1:12" ht="12.75">
      <c r="A38">
        <v>1.7</v>
      </c>
      <c r="B38">
        <v>0.0496</v>
      </c>
      <c r="C38">
        <v>3.02487</v>
      </c>
      <c r="D38">
        <f t="shared" si="1"/>
        <v>193.52192306777945</v>
      </c>
      <c r="E38">
        <v>8072.64</v>
      </c>
      <c r="F38">
        <v>0.282942</v>
      </c>
      <c r="G38">
        <v>151.98</v>
      </c>
      <c r="H38">
        <f t="shared" si="2"/>
        <v>13.548298337994634</v>
      </c>
      <c r="I38">
        <v>9705.742382550236</v>
      </c>
      <c r="J38">
        <v>0.2894334170535198</v>
      </c>
      <c r="K38">
        <v>209.36519232380235</v>
      </c>
      <c r="L38">
        <f t="shared" si="3"/>
        <v>18.62731501756991</v>
      </c>
    </row>
    <row r="39" spans="1:12" ht="12.75">
      <c r="A39">
        <v>1.8</v>
      </c>
      <c r="B39">
        <v>0.0496</v>
      </c>
      <c r="C39">
        <v>3.02487</v>
      </c>
      <c r="D39">
        <f t="shared" si="1"/>
        <v>96.16737839723307</v>
      </c>
      <c r="E39">
        <v>8072.64</v>
      </c>
      <c r="F39">
        <v>0.282942</v>
      </c>
      <c r="G39">
        <v>151.98</v>
      </c>
      <c r="H39">
        <f t="shared" si="2"/>
        <v>9.468060560037259</v>
      </c>
      <c r="I39">
        <v>9705.742382550236</v>
      </c>
      <c r="J39">
        <v>0.2894334170535198</v>
      </c>
      <c r="K39">
        <v>209.36519232380235</v>
      </c>
      <c r="L39">
        <f t="shared" si="3"/>
        <v>13.16992499703228</v>
      </c>
    </row>
    <row r="40" spans="1:12" ht="12.75">
      <c r="A40">
        <v>1.9</v>
      </c>
      <c r="B40">
        <v>0.0496</v>
      </c>
      <c r="C40">
        <v>3.02487</v>
      </c>
      <c r="D40">
        <f t="shared" si="1"/>
        <v>49.36875702594553</v>
      </c>
      <c r="E40">
        <v>8072.64</v>
      </c>
      <c r="F40">
        <v>0.282942</v>
      </c>
      <c r="G40">
        <v>151.98</v>
      </c>
      <c r="H40">
        <f t="shared" si="2"/>
        <v>6.55676849262051</v>
      </c>
      <c r="I40">
        <v>9705.742382550236</v>
      </c>
      <c r="J40">
        <v>0.2894334170535198</v>
      </c>
      <c r="K40">
        <v>209.36519232380235</v>
      </c>
      <c r="L40">
        <f t="shared" si="3"/>
        <v>9.229609110938437</v>
      </c>
    </row>
    <row r="41" spans="1:12" ht="12.75">
      <c r="A41">
        <v>2</v>
      </c>
      <c r="B41">
        <v>0.0496</v>
      </c>
      <c r="C41">
        <v>3.02487</v>
      </c>
      <c r="D41">
        <f t="shared" si="1"/>
        <v>26.047838393670563</v>
      </c>
      <c r="E41">
        <v>8072.64</v>
      </c>
      <c r="F41">
        <v>0.282942</v>
      </c>
      <c r="G41">
        <v>151.98</v>
      </c>
      <c r="H41">
        <f t="shared" si="2"/>
        <v>4.498646937419609</v>
      </c>
      <c r="I41">
        <v>9705.742382550236</v>
      </c>
      <c r="J41">
        <v>0.2894334170535198</v>
      </c>
      <c r="K41">
        <v>209.36519232380235</v>
      </c>
      <c r="L41">
        <f t="shared" si="3"/>
        <v>6.4121441902009515</v>
      </c>
    </row>
    <row r="42" spans="1:12" ht="12.75">
      <c r="A42">
        <v>2.1</v>
      </c>
      <c r="B42">
        <v>0.0496</v>
      </c>
      <c r="C42">
        <v>3.02487</v>
      </c>
      <c r="D42">
        <f t="shared" si="1"/>
        <v>14.054702205399307</v>
      </c>
      <c r="E42">
        <v>8072.64</v>
      </c>
      <c r="F42">
        <v>0.282942</v>
      </c>
      <c r="G42">
        <v>151.98</v>
      </c>
      <c r="H42">
        <f t="shared" si="2"/>
        <v>3.054946858690734</v>
      </c>
      <c r="I42">
        <v>9705.742382550236</v>
      </c>
      <c r="J42">
        <v>0.2894334170535198</v>
      </c>
      <c r="K42">
        <v>209.36519232380235</v>
      </c>
      <c r="L42">
        <f t="shared" si="3"/>
        <v>4.41347063081576</v>
      </c>
    </row>
    <row r="43" spans="1:12" ht="12.75">
      <c r="A43">
        <v>2.2</v>
      </c>
      <c r="B43">
        <v>0.0496</v>
      </c>
      <c r="C43">
        <v>3.02487</v>
      </c>
      <c r="D43">
        <f t="shared" si="1"/>
        <v>7.715849508978995</v>
      </c>
      <c r="E43">
        <v>8072.64</v>
      </c>
      <c r="F43">
        <v>0.282942</v>
      </c>
      <c r="G43">
        <v>151.98</v>
      </c>
      <c r="H43">
        <f t="shared" si="2"/>
        <v>2.049417859967475</v>
      </c>
      <c r="I43">
        <v>9705.742382550236</v>
      </c>
      <c r="J43">
        <v>0.2894334170535198</v>
      </c>
      <c r="K43">
        <v>209.36519232380235</v>
      </c>
      <c r="L43">
        <f t="shared" si="3"/>
        <v>3.005538480587812</v>
      </c>
    </row>
    <row r="44" spans="1:12" ht="12.75">
      <c r="A44">
        <v>2.3</v>
      </c>
      <c r="B44">
        <v>0.0496</v>
      </c>
      <c r="C44">
        <v>3.02487</v>
      </c>
      <c r="D44">
        <f t="shared" si="1"/>
        <v>4.28573639547258</v>
      </c>
      <c r="E44">
        <v>8072.64</v>
      </c>
      <c r="F44">
        <v>0.282942</v>
      </c>
      <c r="G44">
        <v>151.98</v>
      </c>
      <c r="H44">
        <f t="shared" si="2"/>
        <v>1.353978058088897</v>
      </c>
      <c r="I44">
        <v>9705.742382550236</v>
      </c>
      <c r="J44">
        <v>0.2894334170535198</v>
      </c>
      <c r="K44">
        <v>209.36519232380235</v>
      </c>
      <c r="L44">
        <f t="shared" si="3"/>
        <v>2.020356441643347</v>
      </c>
    </row>
    <row r="45" spans="1:12" ht="12.75">
      <c r="A45">
        <v>2.4</v>
      </c>
      <c r="B45">
        <v>0.0496</v>
      </c>
      <c r="C45">
        <v>3.02487</v>
      </c>
      <c r="D45">
        <f t="shared" si="1"/>
        <v>2.392502847188697</v>
      </c>
      <c r="E45">
        <v>8072.64</v>
      </c>
      <c r="F45">
        <v>0.282942</v>
      </c>
      <c r="G45">
        <v>151.98</v>
      </c>
      <c r="H45">
        <f t="shared" si="2"/>
        <v>0.8765740573071868</v>
      </c>
      <c r="I45">
        <v>9705.742382550236</v>
      </c>
      <c r="J45">
        <v>0.2894334170535198</v>
      </c>
      <c r="K45">
        <v>209.36519232380235</v>
      </c>
      <c r="L45">
        <f t="shared" si="3"/>
        <v>1.3356997443335739</v>
      </c>
    </row>
    <row r="46" spans="1:12" ht="12.75">
      <c r="A46">
        <v>2.5</v>
      </c>
      <c r="B46">
        <v>0.0496</v>
      </c>
      <c r="C46">
        <v>3.02487</v>
      </c>
      <c r="D46">
        <f t="shared" si="1"/>
        <v>1.3306757695297202</v>
      </c>
      <c r="E46">
        <v>8072.64</v>
      </c>
      <c r="F46">
        <v>0.282942</v>
      </c>
      <c r="G46">
        <v>151.98</v>
      </c>
      <c r="H46">
        <f t="shared" si="2"/>
        <v>0.5515908947503306</v>
      </c>
      <c r="I46">
        <v>9705.742382550236</v>
      </c>
      <c r="J46">
        <v>0.2894334170535198</v>
      </c>
      <c r="K46">
        <v>209.36519232380235</v>
      </c>
      <c r="L46">
        <f t="shared" si="3"/>
        <v>0.8634441440009951</v>
      </c>
    </row>
    <row r="47" spans="1:12" ht="12.75">
      <c r="A47">
        <v>2.6</v>
      </c>
      <c r="B47">
        <v>0.0496</v>
      </c>
      <c r="C47">
        <v>3.02487</v>
      </c>
      <c r="D47">
        <f t="shared" si="1"/>
        <v>0.7279764254165867</v>
      </c>
      <c r="E47">
        <v>8072.64</v>
      </c>
      <c r="F47">
        <v>0.282942</v>
      </c>
      <c r="G47">
        <v>151.98</v>
      </c>
      <c r="H47">
        <f t="shared" si="2"/>
        <v>0.33256373645291537</v>
      </c>
      <c r="I47">
        <v>9705.742382550236</v>
      </c>
      <c r="J47">
        <v>0.2894334170535198</v>
      </c>
      <c r="K47">
        <v>209.36519232380235</v>
      </c>
      <c r="L47">
        <f t="shared" si="3"/>
        <v>0.5404956046094825</v>
      </c>
    </row>
    <row r="48" spans="1:12" ht="12.75">
      <c r="A48">
        <v>2.7</v>
      </c>
      <c r="B48">
        <v>0.0496</v>
      </c>
      <c r="C48">
        <v>3.02487</v>
      </c>
      <c r="D48">
        <f t="shared" si="1"/>
        <v>0.3833515271729849</v>
      </c>
      <c r="E48">
        <v>8072.64</v>
      </c>
      <c r="F48">
        <v>0.282942</v>
      </c>
      <c r="G48">
        <v>151.98</v>
      </c>
      <c r="H48">
        <f t="shared" si="2"/>
        <v>0.18676915069643857</v>
      </c>
      <c r="I48">
        <v>9705.742382550236</v>
      </c>
      <c r="J48">
        <v>0.2894334170535198</v>
      </c>
      <c r="K48">
        <v>209.36519232380235</v>
      </c>
      <c r="L48">
        <f t="shared" si="3"/>
        <v>0.3219389719439274</v>
      </c>
    </row>
    <row r="49" spans="1:12" ht="12.75">
      <c r="A49">
        <v>2.8</v>
      </c>
      <c r="B49">
        <v>0.0496</v>
      </c>
      <c r="C49">
        <v>3.02487</v>
      </c>
      <c r="D49">
        <f t="shared" si="1"/>
        <v>0.18595278629622872</v>
      </c>
      <c r="E49">
        <v>8072.64</v>
      </c>
      <c r="F49">
        <v>0.282942</v>
      </c>
      <c r="G49">
        <v>151.98</v>
      </c>
      <c r="H49">
        <f t="shared" si="2"/>
        <v>0.0912740012539785</v>
      </c>
      <c r="I49">
        <v>9705.742382550236</v>
      </c>
      <c r="J49">
        <v>0.2894334170535198</v>
      </c>
      <c r="K49">
        <v>209.36519232380235</v>
      </c>
      <c r="L49">
        <f t="shared" si="3"/>
        <v>0.17595841059853962</v>
      </c>
    </row>
    <row r="50" spans="1:12" ht="12.75">
      <c r="A50">
        <v>2.9</v>
      </c>
      <c r="B50">
        <v>0.0496</v>
      </c>
      <c r="C50">
        <v>3.02487</v>
      </c>
      <c r="D50">
        <f t="shared" si="1"/>
        <v>0.07353635843048323</v>
      </c>
      <c r="E50">
        <v>8072.64</v>
      </c>
      <c r="F50">
        <v>0.282942</v>
      </c>
      <c r="G50">
        <v>151.98</v>
      </c>
      <c r="H50">
        <f t="shared" si="2"/>
        <v>0.030080844458902023</v>
      </c>
      <c r="I50">
        <v>9705.742382550236</v>
      </c>
      <c r="J50">
        <v>0.2894334170535198</v>
      </c>
      <c r="K50">
        <v>209.36519232380235</v>
      </c>
      <c r="L50">
        <f t="shared" si="3"/>
        <v>0.080119324711037</v>
      </c>
    </row>
    <row r="51" spans="1:12" ht="12.75">
      <c r="A51">
        <v>3</v>
      </c>
      <c r="B51">
        <v>0.0496</v>
      </c>
      <c r="C51">
        <v>3.02487</v>
      </c>
      <c r="D51">
        <f t="shared" si="1"/>
        <v>0.01058685648020991</v>
      </c>
      <c r="E51">
        <v>8072.64</v>
      </c>
      <c r="F51">
        <v>0.282942</v>
      </c>
      <c r="G51">
        <v>151.98</v>
      </c>
      <c r="H51">
        <f t="shared" si="2"/>
        <v>-0.007917781753506076</v>
      </c>
      <c r="I51">
        <v>9705.742382550236</v>
      </c>
      <c r="J51">
        <v>0.2894334170535198</v>
      </c>
      <c r="K51">
        <v>209.36519232380235</v>
      </c>
      <c r="L51">
        <f t="shared" si="3"/>
        <v>0.01867185844426056</v>
      </c>
    </row>
    <row r="52" spans="1:12" ht="12.75">
      <c r="A52">
        <v>3.1</v>
      </c>
      <c r="B52">
        <v>0.0496</v>
      </c>
      <c r="C52">
        <v>3.02487</v>
      </c>
      <c r="D52">
        <f t="shared" si="1"/>
        <v>-0.02344004502413269</v>
      </c>
      <c r="E52">
        <v>8072.64</v>
      </c>
      <c r="F52">
        <v>0.282942</v>
      </c>
      <c r="G52">
        <v>151.98</v>
      </c>
      <c r="H52">
        <f t="shared" si="2"/>
        <v>-0.030396252743604607</v>
      </c>
      <c r="I52">
        <v>9705.742382550236</v>
      </c>
      <c r="J52">
        <v>0.2894334170535198</v>
      </c>
      <c r="K52">
        <v>209.36519232380235</v>
      </c>
      <c r="L52">
        <f t="shared" si="3"/>
        <v>-0.01939114061131897</v>
      </c>
    </row>
    <row r="53" spans="1:12" ht="12.75">
      <c r="A53">
        <v>3.2</v>
      </c>
      <c r="B53">
        <v>0.0496</v>
      </c>
      <c r="C53">
        <v>3.02487</v>
      </c>
      <c r="D53">
        <f t="shared" si="1"/>
        <v>-0.04056393401690196</v>
      </c>
      <c r="E53">
        <v>8072.64</v>
      </c>
      <c r="F53">
        <v>0.282942</v>
      </c>
      <c r="G53">
        <v>151.98</v>
      </c>
      <c r="H53">
        <f t="shared" si="2"/>
        <v>-0.04262821231003833</v>
      </c>
      <c r="I53">
        <v>9705.742382550236</v>
      </c>
      <c r="J53">
        <v>0.2894334170535198</v>
      </c>
      <c r="K53">
        <v>209.36519232380235</v>
      </c>
      <c r="L53">
        <f t="shared" si="3"/>
        <v>-0.04172514554727716</v>
      </c>
    </row>
    <row r="54" spans="1:12" ht="12.75">
      <c r="A54">
        <v>3.3</v>
      </c>
      <c r="B54">
        <v>0.0496</v>
      </c>
      <c r="C54">
        <v>3.02487</v>
      </c>
      <c r="D54">
        <f t="shared" si="1"/>
        <v>-0.047878896641251265</v>
      </c>
      <c r="E54">
        <v>8072.64</v>
      </c>
      <c r="F54">
        <v>0.282942</v>
      </c>
      <c r="G54">
        <v>151.98</v>
      </c>
      <c r="H54">
        <f t="shared" si="2"/>
        <v>-0.04821501190629135</v>
      </c>
      <c r="I54">
        <v>9705.742382550236</v>
      </c>
      <c r="J54">
        <v>0.2894334170535198</v>
      </c>
      <c r="K54">
        <v>209.36519232380235</v>
      </c>
      <c r="L54">
        <f t="shared" si="3"/>
        <v>-0.05362582803287157</v>
      </c>
    </row>
    <row r="55" spans="1:12" ht="12.75">
      <c r="A55">
        <v>3.4</v>
      </c>
      <c r="B55">
        <v>0.0496</v>
      </c>
      <c r="C55">
        <v>3.02487</v>
      </c>
      <c r="D55">
        <f t="shared" si="1"/>
        <v>-0.04959661394889597</v>
      </c>
      <c r="E55">
        <v>8072.64</v>
      </c>
      <c r="F55">
        <v>0.282942</v>
      </c>
      <c r="G55">
        <v>151.98</v>
      </c>
      <c r="H55">
        <f t="shared" si="2"/>
        <v>-0.049597791543531056</v>
      </c>
      <c r="I55">
        <v>9705.742382550236</v>
      </c>
      <c r="J55">
        <v>0.2894334170535198</v>
      </c>
      <c r="K55">
        <v>209.36519232380235</v>
      </c>
      <c r="L55">
        <f t="shared" si="3"/>
        <v>-0.058733599548148524</v>
      </c>
    </row>
    <row r="56" spans="1:12" ht="12.75">
      <c r="A56">
        <v>3.5</v>
      </c>
      <c r="B56">
        <v>0.0496</v>
      </c>
      <c r="C56">
        <v>3.02487</v>
      </c>
      <c r="D56">
        <f t="shared" si="1"/>
        <v>-0.04822359447026257</v>
      </c>
      <c r="E56">
        <v>8072.64</v>
      </c>
      <c r="F56">
        <v>0.282942</v>
      </c>
      <c r="G56">
        <v>151.98</v>
      </c>
      <c r="H56">
        <f t="shared" si="2"/>
        <v>-0.04841622638832846</v>
      </c>
      <c r="I56">
        <v>9705.742382550236</v>
      </c>
      <c r="J56">
        <v>0.2894334170535198</v>
      </c>
      <c r="K56">
        <v>209.36519232380235</v>
      </c>
      <c r="L56">
        <f t="shared" si="3"/>
        <v>-0.059532326062664245</v>
      </c>
    </row>
    <row r="57" spans="1:12" ht="12.75">
      <c r="A57">
        <v>3.6</v>
      </c>
      <c r="B57">
        <v>0.0496</v>
      </c>
      <c r="C57">
        <v>3.02487</v>
      </c>
      <c r="D57">
        <f t="shared" si="1"/>
        <v>-0.0452486582709615</v>
      </c>
      <c r="E57">
        <v>8072.64</v>
      </c>
      <c r="F57">
        <v>0.282942</v>
      </c>
      <c r="G57">
        <v>151.98</v>
      </c>
      <c r="H57">
        <f t="shared" si="2"/>
        <v>-0.04575901569991998</v>
      </c>
      <c r="I57">
        <v>9705.742382550236</v>
      </c>
      <c r="J57">
        <v>0.2894334170535198</v>
      </c>
      <c r="K57">
        <v>209.36519232380235</v>
      </c>
      <c r="L57">
        <f t="shared" si="3"/>
        <v>-0.057701202915373874</v>
      </c>
    </row>
    <row r="58" spans="1:12" ht="12.75">
      <c r="A58">
        <v>3.7</v>
      </c>
      <c r="B58">
        <v>0.0496</v>
      </c>
      <c r="C58">
        <v>3.02487</v>
      </c>
      <c r="D58">
        <f t="shared" si="1"/>
        <v>-0.04154921797494167</v>
      </c>
      <c r="E58">
        <v>8072.64</v>
      </c>
      <c r="F58">
        <v>0.282942</v>
      </c>
      <c r="G58">
        <v>151.98</v>
      </c>
      <c r="H58">
        <f t="shared" si="2"/>
        <v>-0.042338193306738874</v>
      </c>
      <c r="I58">
        <v>9705.742382550236</v>
      </c>
      <c r="J58">
        <v>0.2894334170535198</v>
      </c>
      <c r="K58">
        <v>209.36519232380235</v>
      </c>
      <c r="L58">
        <f t="shared" si="3"/>
        <v>-0.054362236061163555</v>
      </c>
    </row>
    <row r="59" spans="1:12" ht="12.75">
      <c r="A59">
        <v>3.8</v>
      </c>
      <c r="B59">
        <v>0.0496</v>
      </c>
      <c r="C59">
        <v>3.02487</v>
      </c>
      <c r="D59">
        <f t="shared" si="1"/>
        <v>-0.03763387212591629</v>
      </c>
      <c r="E59">
        <v>8072.64</v>
      </c>
      <c r="F59">
        <v>0.282942</v>
      </c>
      <c r="G59">
        <v>151.98</v>
      </c>
      <c r="H59">
        <f t="shared" si="2"/>
        <v>-0.03860999627550493</v>
      </c>
      <c r="I59">
        <v>9705.742382550236</v>
      </c>
      <c r="J59">
        <v>0.2894334170535198</v>
      </c>
      <c r="K59">
        <v>209.36519232380235</v>
      </c>
      <c r="L59">
        <f t="shared" si="3"/>
        <v>-0.050253735840261646</v>
      </c>
    </row>
    <row r="60" spans="1:12" ht="12.75">
      <c r="A60">
        <v>3.9</v>
      </c>
      <c r="B60">
        <v>0.0496</v>
      </c>
      <c r="C60">
        <v>3.02487</v>
      </c>
      <c r="D60">
        <f t="shared" si="1"/>
        <v>-0.03378852654130215</v>
      </c>
      <c r="E60">
        <v>8072.64</v>
      </c>
      <c r="F60">
        <v>0.282942</v>
      </c>
      <c r="G60">
        <v>151.98</v>
      </c>
      <c r="H60">
        <f t="shared" si="2"/>
        <v>-0.03485835146484242</v>
      </c>
      <c r="I60">
        <v>9705.742382550236</v>
      </c>
      <c r="J60">
        <v>0.2894334170535198</v>
      </c>
      <c r="K60">
        <v>209.36519232380235</v>
      </c>
      <c r="L60">
        <f t="shared" si="3"/>
        <v>-0.04585152365004055</v>
      </c>
    </row>
    <row r="61" spans="1:12" ht="12.75">
      <c r="A61">
        <v>4</v>
      </c>
      <c r="B61">
        <v>0.0496</v>
      </c>
      <c r="C61">
        <v>3.02487</v>
      </c>
      <c r="D61">
        <f t="shared" si="1"/>
        <v>-0.030165021826431312</v>
      </c>
      <c r="E61">
        <v>8072.64</v>
      </c>
      <c r="F61">
        <v>0.282942</v>
      </c>
      <c r="G61">
        <v>151.98</v>
      </c>
      <c r="H61">
        <f t="shared" si="2"/>
        <v>-0.03125228940270861</v>
      </c>
      <c r="I61">
        <v>9705.742382550236</v>
      </c>
      <c r="J61">
        <v>0.2894334170535198</v>
      </c>
      <c r="K61">
        <v>209.36519232380235</v>
      </c>
      <c r="L61">
        <f>I61*EXP(-A61/J61)-K61/A61^6</f>
        <v>-0.0414532895637737</v>
      </c>
    </row>
    <row r="62" ht="12.75">
      <c r="J62" t="s">
        <v>326</v>
      </c>
    </row>
    <row r="63" spans="10:16" ht="12.75">
      <c r="J63" t="s">
        <v>321</v>
      </c>
      <c r="K63" t="s">
        <v>322</v>
      </c>
      <c r="L63" t="s">
        <v>323</v>
      </c>
      <c r="M63" t="s">
        <v>269</v>
      </c>
      <c r="N63" t="s">
        <v>325</v>
      </c>
      <c r="O63" t="s">
        <v>327</v>
      </c>
      <c r="P63" t="s">
        <v>328</v>
      </c>
    </row>
    <row r="64" spans="10:16" ht="12.75">
      <c r="J64">
        <f>(LN(2)-12)/6</f>
        <v>-1.8844754699066757</v>
      </c>
      <c r="K64">
        <v>3.04287</v>
      </c>
      <c r="L64">
        <v>3.4732010046422377</v>
      </c>
      <c r="M64">
        <f>K64/L64</f>
        <v>0.8760995968655249</v>
      </c>
      <c r="N64">
        <f>LN(M64)-2*M64-J64</f>
        <v>7.767190568497284E-07</v>
      </c>
      <c r="O64">
        <v>0.0496</v>
      </c>
      <c r="P64">
        <f>2*O64/(M64*EXP(12)*EXP(-12*M64)-M64^(-6))</f>
        <v>0.05963414224508633</v>
      </c>
    </row>
    <row r="66" spans="10:12" ht="12.75">
      <c r="J66" t="s">
        <v>260</v>
      </c>
      <c r="K66" t="s">
        <v>329</v>
      </c>
      <c r="L66" t="s">
        <v>8</v>
      </c>
    </row>
    <row r="67" spans="10:12" ht="12.75">
      <c r="J67">
        <f>P64*EXP(12)</f>
        <v>9705.742382550236</v>
      </c>
      <c r="K67">
        <f>L64/12</f>
        <v>0.2894334170535198</v>
      </c>
      <c r="L67">
        <f>2*P64*L64^6</f>
        <v>209.36519232380235</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D31" sqref="D31"/>
    </sheetView>
  </sheetViews>
  <sheetFormatPr defaultColWidth="9.140625" defaultRowHeight="12.75"/>
  <cols>
    <col min="4" max="4" width="13.00390625" style="0" customWidth="1"/>
  </cols>
  <sheetData>
    <row r="1" spans="1:4" ht="12.75">
      <c r="A1" t="s">
        <v>117</v>
      </c>
      <c r="B1" t="s">
        <v>118</v>
      </c>
      <c r="D1" t="s">
        <v>114</v>
      </c>
    </row>
    <row r="2" spans="1:4" ht="12.75">
      <c r="A2" t="s">
        <v>101</v>
      </c>
      <c r="B2" t="s">
        <v>108</v>
      </c>
      <c r="D2" t="s">
        <v>119</v>
      </c>
    </row>
    <row r="3" ht="12.75">
      <c r="A3" t="s">
        <v>109</v>
      </c>
    </row>
    <row r="4" spans="1:9" ht="12.75">
      <c r="A4" t="s">
        <v>111</v>
      </c>
      <c r="B4">
        <v>0.72</v>
      </c>
      <c r="C4">
        <v>0</v>
      </c>
      <c r="D4">
        <f aca="true" t="shared" si="0" ref="D4:D25">B4*C4</f>
        <v>0</v>
      </c>
      <c r="E4" t="s">
        <v>112</v>
      </c>
      <c r="F4" t="s">
        <v>114</v>
      </c>
      <c r="G4" t="s">
        <v>122</v>
      </c>
      <c r="H4">
        <v>0.39</v>
      </c>
      <c r="I4" t="s">
        <v>123</v>
      </c>
    </row>
    <row r="5" spans="1:9" ht="12.75">
      <c r="A5" t="s">
        <v>113</v>
      </c>
      <c r="B5">
        <v>-0.24</v>
      </c>
      <c r="C5">
        <v>0</v>
      </c>
      <c r="D5">
        <f t="shared" si="0"/>
        <v>0</v>
      </c>
      <c r="E5" t="s">
        <v>120</v>
      </c>
      <c r="F5" t="s">
        <v>114</v>
      </c>
      <c r="G5" t="s">
        <v>122</v>
      </c>
      <c r="H5">
        <v>-0.13</v>
      </c>
      <c r="I5" t="s">
        <v>123</v>
      </c>
    </row>
    <row r="6" spans="1:9" ht="12.75">
      <c r="A6" t="s">
        <v>87</v>
      </c>
      <c r="B6">
        <v>0.52</v>
      </c>
      <c r="C6">
        <v>14</v>
      </c>
      <c r="D6">
        <f t="shared" si="0"/>
        <v>7.28</v>
      </c>
      <c r="E6" t="s">
        <v>121</v>
      </c>
      <c r="F6" t="s">
        <v>114</v>
      </c>
      <c r="G6" t="s">
        <v>122</v>
      </c>
      <c r="H6">
        <v>0.18</v>
      </c>
      <c r="I6" t="s">
        <v>123</v>
      </c>
    </row>
    <row r="7" spans="1:9" ht="12.75">
      <c r="A7" t="s">
        <v>110</v>
      </c>
      <c r="B7">
        <v>-0.26</v>
      </c>
      <c r="C7">
        <v>28</v>
      </c>
      <c r="D7">
        <f t="shared" si="0"/>
        <v>-7.28</v>
      </c>
      <c r="E7" t="s">
        <v>121</v>
      </c>
      <c r="F7" t="s">
        <v>114</v>
      </c>
      <c r="G7" t="s">
        <v>122</v>
      </c>
      <c r="H7">
        <v>-0.09</v>
      </c>
      <c r="I7" t="s">
        <v>123</v>
      </c>
    </row>
    <row r="8" spans="1:6" ht="12.75">
      <c r="A8" t="s">
        <v>83</v>
      </c>
      <c r="B8">
        <v>0.5004</v>
      </c>
      <c r="C8">
        <v>1</v>
      </c>
      <c r="D8">
        <f t="shared" si="0"/>
        <v>0.5004</v>
      </c>
      <c r="F8" t="s">
        <v>119</v>
      </c>
    </row>
    <row r="9" spans="1:6" ht="12.75">
      <c r="A9" t="s">
        <v>88</v>
      </c>
      <c r="B9">
        <v>0.4611</v>
      </c>
      <c r="C9">
        <v>1</v>
      </c>
      <c r="D9">
        <f t="shared" si="0"/>
        <v>0.4611</v>
      </c>
      <c r="F9" t="s">
        <v>119</v>
      </c>
    </row>
    <row r="10" spans="1:6" ht="12.75">
      <c r="A10" t="s">
        <v>84</v>
      </c>
      <c r="B10">
        <v>0.8421</v>
      </c>
      <c r="C10">
        <v>1</v>
      </c>
      <c r="D10">
        <f t="shared" si="0"/>
        <v>0.8421</v>
      </c>
      <c r="F10" t="s">
        <v>119</v>
      </c>
    </row>
    <row r="11" spans="1:6" ht="12.75">
      <c r="A11" t="s">
        <v>124</v>
      </c>
      <c r="B11">
        <v>0.4118</v>
      </c>
      <c r="C11">
        <v>1</v>
      </c>
      <c r="D11">
        <f t="shared" si="0"/>
        <v>0.4118</v>
      </c>
      <c r="F11" t="s">
        <v>119</v>
      </c>
    </row>
    <row r="12" spans="1:6" ht="12.75">
      <c r="A12" t="s">
        <v>125</v>
      </c>
      <c r="B12">
        <v>0.8434</v>
      </c>
      <c r="C12">
        <v>1</v>
      </c>
      <c r="D12">
        <f t="shared" si="0"/>
        <v>0.8434</v>
      </c>
      <c r="F12" t="s">
        <v>119</v>
      </c>
    </row>
    <row r="13" spans="1:6" ht="12.75">
      <c r="A13" t="s">
        <v>126</v>
      </c>
      <c r="B13">
        <v>0.8398</v>
      </c>
      <c r="C13">
        <v>1</v>
      </c>
      <c r="D13">
        <f t="shared" si="0"/>
        <v>0.8398</v>
      </c>
      <c r="F13" t="s">
        <v>119</v>
      </c>
    </row>
    <row r="14" spans="1:6" ht="12.75">
      <c r="A14" t="s">
        <v>127</v>
      </c>
      <c r="B14">
        <v>0.3081</v>
      </c>
      <c r="C14">
        <v>1</v>
      </c>
      <c r="D14">
        <f t="shared" si="0"/>
        <v>0.3081</v>
      </c>
      <c r="F14" t="s">
        <v>119</v>
      </c>
    </row>
    <row r="15" spans="1:6" ht="12.75">
      <c r="A15" t="s">
        <v>128</v>
      </c>
      <c r="B15">
        <v>-0.2436</v>
      </c>
      <c r="C15">
        <v>2</v>
      </c>
      <c r="D15">
        <f t="shared" si="0"/>
        <v>-0.4872</v>
      </c>
      <c r="F15" t="s">
        <v>119</v>
      </c>
    </row>
    <row r="16" spans="1:6" ht="12.75">
      <c r="A16" t="s">
        <v>129</v>
      </c>
      <c r="B16">
        <v>-0.2502</v>
      </c>
      <c r="C16">
        <v>1</v>
      </c>
      <c r="D16">
        <f t="shared" si="0"/>
        <v>-0.2502</v>
      </c>
      <c r="F16" t="s">
        <v>119</v>
      </c>
    </row>
    <row r="17" spans="1:6" ht="12.75">
      <c r="A17" t="s">
        <v>130</v>
      </c>
      <c r="B17">
        <v>-0.2646</v>
      </c>
      <c r="C17">
        <v>2</v>
      </c>
      <c r="D17">
        <f t="shared" si="0"/>
        <v>-0.5292</v>
      </c>
      <c r="F17" t="s">
        <v>119</v>
      </c>
    </row>
    <row r="18" spans="1:6" ht="12.75">
      <c r="A18" t="s">
        <v>131</v>
      </c>
      <c r="B18">
        <v>-0.2695</v>
      </c>
      <c r="C18">
        <v>1</v>
      </c>
      <c r="D18">
        <f t="shared" si="0"/>
        <v>-0.2695</v>
      </c>
      <c r="F18" t="s">
        <v>119</v>
      </c>
    </row>
    <row r="19" spans="1:11" ht="12.75">
      <c r="A19" t="s">
        <v>132</v>
      </c>
      <c r="B19">
        <v>-0.2557</v>
      </c>
      <c r="C19">
        <v>3</v>
      </c>
      <c r="D19">
        <f t="shared" si="0"/>
        <v>-0.7670999999999999</v>
      </c>
      <c r="F19" t="s">
        <v>137</v>
      </c>
      <c r="G19" t="s">
        <v>133</v>
      </c>
      <c r="K19">
        <f>0.0002*3</f>
        <v>0.0006000000000000001</v>
      </c>
    </row>
    <row r="20" spans="1:6" ht="12.75">
      <c r="A20" t="s">
        <v>134</v>
      </c>
      <c r="B20">
        <v>-0.2423</v>
      </c>
      <c r="C20">
        <v>2</v>
      </c>
      <c r="D20">
        <f t="shared" si="0"/>
        <v>-0.4846</v>
      </c>
      <c r="F20" t="s">
        <v>119</v>
      </c>
    </row>
    <row r="21" spans="1:6" ht="12.75">
      <c r="A21" t="s">
        <v>135</v>
      </c>
      <c r="B21">
        <v>-0.3147</v>
      </c>
      <c r="C21">
        <v>2</v>
      </c>
      <c r="D21">
        <f t="shared" si="0"/>
        <v>-0.6294</v>
      </c>
      <c r="F21" t="s">
        <v>119</v>
      </c>
    </row>
    <row r="22" spans="1:6" ht="12.75">
      <c r="A22" t="s">
        <v>91</v>
      </c>
      <c r="B22">
        <v>-0.487</v>
      </c>
      <c r="C22">
        <v>1</v>
      </c>
      <c r="D22">
        <f t="shared" si="0"/>
        <v>-0.487</v>
      </c>
      <c r="F22" t="s">
        <v>119</v>
      </c>
    </row>
    <row r="23" spans="1:11" ht="12.75">
      <c r="A23" t="s">
        <v>92</v>
      </c>
      <c r="B23">
        <v>-0.5416</v>
      </c>
      <c r="C23">
        <v>1</v>
      </c>
      <c r="D23">
        <f t="shared" si="0"/>
        <v>-0.5416</v>
      </c>
      <c r="F23" t="s">
        <v>119</v>
      </c>
      <c r="K23" t="s">
        <v>141</v>
      </c>
    </row>
    <row r="24" spans="1:11" ht="12.75">
      <c r="A24" t="s">
        <v>136</v>
      </c>
      <c r="B24">
        <v>-0.280866667</v>
      </c>
      <c r="C24">
        <v>3</v>
      </c>
      <c r="D24">
        <f t="shared" si="0"/>
        <v>-0.8426000010000001</v>
      </c>
      <c r="F24" t="s">
        <v>137</v>
      </c>
      <c r="G24" t="s">
        <v>138</v>
      </c>
      <c r="K24">
        <f>-0.6142+0.28087</f>
        <v>-0.33332999999999996</v>
      </c>
    </row>
    <row r="25" spans="1:6" ht="12.75">
      <c r="A25" t="s">
        <v>3</v>
      </c>
      <c r="B25">
        <v>1.0817</v>
      </c>
      <c r="C25">
        <v>1</v>
      </c>
      <c r="D25">
        <f t="shared" si="0"/>
        <v>1.0817</v>
      </c>
      <c r="F25" t="s">
        <v>119</v>
      </c>
    </row>
    <row r="26" spans="1:4" ht="12.75">
      <c r="A26" t="s">
        <v>139</v>
      </c>
      <c r="D26" s="19">
        <f>SUM(D4:D25)</f>
        <v>-9.99999860695766E-10</v>
      </c>
    </row>
    <row r="28" ht="12.75">
      <c r="B28">
        <v>-0.280866667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33"/>
  <sheetViews>
    <sheetView tabSelected="1" workbookViewId="0" topLeftCell="A1">
      <selection activeCell="L37" sqref="L37"/>
    </sheetView>
  </sheetViews>
  <sheetFormatPr defaultColWidth="9.140625" defaultRowHeight="12.75"/>
  <cols>
    <col min="5" max="5" width="12.57421875" style="0" customWidth="1"/>
    <col min="14" max="14" width="11.57421875" style="0" customWidth="1"/>
  </cols>
  <sheetData>
    <row r="1" spans="1:15" ht="12.75">
      <c r="A1" t="s">
        <v>196</v>
      </c>
      <c r="D1" t="s">
        <v>205</v>
      </c>
      <c r="E1">
        <f>1/4.184</f>
        <v>0.2390057361376673</v>
      </c>
      <c r="J1" t="s">
        <v>201</v>
      </c>
      <c r="K1" t="s">
        <v>202</v>
      </c>
      <c r="L1" t="s">
        <v>215</v>
      </c>
      <c r="M1" t="s">
        <v>337</v>
      </c>
      <c r="N1" t="s">
        <v>352</v>
      </c>
      <c r="O1" t="s">
        <v>353</v>
      </c>
    </row>
    <row r="2" spans="1:15" ht="12.75">
      <c r="A2" t="s">
        <v>197</v>
      </c>
      <c r="B2" t="s">
        <v>200</v>
      </c>
      <c r="C2" t="s">
        <v>199</v>
      </c>
      <c r="D2" t="s">
        <v>198</v>
      </c>
      <c r="F2" t="s">
        <v>203</v>
      </c>
      <c r="G2" t="s">
        <v>199</v>
      </c>
      <c r="H2" t="s">
        <v>204</v>
      </c>
      <c r="I2" t="s">
        <v>329</v>
      </c>
      <c r="J2">
        <v>1.2</v>
      </c>
      <c r="K2">
        <f aca="true" t="shared" si="0" ref="K2:K20">$F$3*EXP(-$G$3*J2)-$H$3/J2^6</f>
        <v>2.741963415494787</v>
      </c>
      <c r="L2">
        <f>$F$6*EXP(-$G$6*J2)-$H$6/J2^6</f>
        <v>226.4924702768994</v>
      </c>
      <c r="M2">
        <f>$F$10*EXP(-J2/$G$10)-$I$10/J2^4</f>
        <v>3.9450075999808947</v>
      </c>
      <c r="N2">
        <f>4*$B$32*(($C$32/J2)^12-($C$32/J2)^6)</f>
        <v>4.266732935181516</v>
      </c>
      <c r="O2">
        <f>4*$B$33*(($C$33/J2)^12-($C$33/J2)^6)</f>
        <v>1552.3625010532505</v>
      </c>
    </row>
    <row r="3" spans="1:15" ht="12.75">
      <c r="A3" t="s">
        <v>213</v>
      </c>
      <c r="B3">
        <v>109319</v>
      </c>
      <c r="C3">
        <v>5.96679</v>
      </c>
      <c r="D3">
        <v>219.356</v>
      </c>
      <c r="F3">
        <f>B3*$E$1</f>
        <v>26127.86806883365</v>
      </c>
      <c r="G3">
        <f>C3</f>
        <v>5.96679</v>
      </c>
      <c r="H3">
        <f>D3*$E$1</f>
        <v>52.427342256214146</v>
      </c>
      <c r="I3">
        <f>1/G3</f>
        <v>0.1675943011233846</v>
      </c>
      <c r="J3">
        <v>1.3</v>
      </c>
      <c r="K3">
        <f t="shared" si="0"/>
        <v>0.31611414314501474</v>
      </c>
      <c r="L3">
        <f aca="true" t="shared" si="1" ref="L3:L20">$F$6*EXP(-$G$6*J3)-$H$6/J3^6</f>
        <v>129.10644856269457</v>
      </c>
      <c r="M3">
        <f aca="true" t="shared" si="2" ref="M3:M20">$F$10*EXP(-J3/$G$10)-$I$10/J3^4</f>
        <v>1.1320679610947901</v>
      </c>
      <c r="N3">
        <f aca="true" t="shared" si="3" ref="N3:N20">4*$B$32*(($C$32/J3)^12-($C$32/J3)^6)</f>
        <v>0.3358983865436761</v>
      </c>
      <c r="O3">
        <f aca="true" t="shared" si="4" ref="O3:O20">4*$B$33*(($C$33/J3)^12-($C$33/J3)^6)</f>
        <v>580.6649220369432</v>
      </c>
    </row>
    <row r="4" spans="1:15" ht="12.75">
      <c r="A4" t="s">
        <v>212</v>
      </c>
      <c r="E4" t="s">
        <v>339</v>
      </c>
      <c r="J4">
        <v>1.4</v>
      </c>
      <c r="K4">
        <f t="shared" si="0"/>
        <v>-0.8079714823569324</v>
      </c>
      <c r="L4">
        <f t="shared" si="1"/>
        <v>72.59416048287046</v>
      </c>
      <c r="M4">
        <f t="shared" si="2"/>
        <v>-0.05503724254413722</v>
      </c>
      <c r="N4">
        <f t="shared" si="3"/>
        <v>-0.6444962903681039</v>
      </c>
      <c r="O4">
        <f t="shared" si="4"/>
        <v>230.52491237242495</v>
      </c>
    </row>
    <row r="5" spans="1:15" ht="12.75">
      <c r="A5" t="s">
        <v>197</v>
      </c>
      <c r="B5" t="s">
        <v>200</v>
      </c>
      <c r="C5" t="s">
        <v>199</v>
      </c>
      <c r="D5" t="s">
        <v>198</v>
      </c>
      <c r="F5" t="s">
        <v>203</v>
      </c>
      <c r="G5" t="s">
        <v>199</v>
      </c>
      <c r="H5" t="s">
        <v>204</v>
      </c>
      <c r="J5">
        <v>1.5</v>
      </c>
      <c r="K5">
        <f t="shared" si="0"/>
        <v>-1.213546411422659</v>
      </c>
      <c r="L5">
        <f t="shared" si="1"/>
        <v>40.127210208963376</v>
      </c>
      <c r="M5">
        <f t="shared" si="2"/>
        <v>-0.5004420493131373</v>
      </c>
      <c r="N5">
        <f t="shared" si="3"/>
        <v>-0.7701037197854644</v>
      </c>
      <c r="O5">
        <f t="shared" si="4"/>
        <v>95.67596032611883</v>
      </c>
    </row>
    <row r="6" spans="1:15" ht="12.75">
      <c r="A6" t="s">
        <v>214</v>
      </c>
      <c r="B6">
        <v>825823</v>
      </c>
      <c r="C6">
        <v>5.43552</v>
      </c>
      <c r="D6">
        <v>794.738</v>
      </c>
      <c r="F6">
        <f>B6*$E$1</f>
        <v>197376.4340344168</v>
      </c>
      <c r="G6">
        <f>C6</f>
        <v>5.43552</v>
      </c>
      <c r="H6">
        <f>D6*$E$1</f>
        <v>189.94694072657745</v>
      </c>
      <c r="I6">
        <f>1/G6</f>
        <v>0.18397503826680794</v>
      </c>
      <c r="J6">
        <v>1.6</v>
      </c>
      <c r="K6">
        <f t="shared" si="0"/>
        <v>-1.2587327291602683</v>
      </c>
      <c r="L6">
        <f t="shared" si="1"/>
        <v>21.662722774796283</v>
      </c>
      <c r="M6">
        <f t="shared" si="2"/>
        <v>-0.6190882053944384</v>
      </c>
      <c r="N6">
        <f t="shared" si="3"/>
        <v>-0.6691113985393469</v>
      </c>
      <c r="O6">
        <f t="shared" si="4"/>
        <v>40.851822916239925</v>
      </c>
    </row>
    <row r="7" spans="5:15" ht="12.75">
      <c r="E7" t="s">
        <v>338</v>
      </c>
      <c r="J7">
        <v>1.7</v>
      </c>
      <c r="K7">
        <f t="shared" si="0"/>
        <v>-1.1444340007993241</v>
      </c>
      <c r="L7">
        <f t="shared" si="1"/>
        <v>11.28412380675735</v>
      </c>
      <c r="M7">
        <f t="shared" si="2"/>
        <v>-0.6028123823007674</v>
      </c>
      <c r="N7">
        <f t="shared" si="3"/>
        <v>-0.5306303844845136</v>
      </c>
      <c r="O7">
        <f t="shared" si="4"/>
        <v>17.590659806882318</v>
      </c>
    </row>
    <row r="8" spans="1:15" ht="12.75">
      <c r="A8" t="s">
        <v>182</v>
      </c>
      <c r="B8" t="s">
        <v>206</v>
      </c>
      <c r="C8" t="s">
        <v>207</v>
      </c>
      <c r="J8">
        <v>1.8</v>
      </c>
      <c r="K8">
        <f t="shared" si="0"/>
        <v>-0.9755979573860443</v>
      </c>
      <c r="L8">
        <f t="shared" si="1"/>
        <v>5.537409736662626</v>
      </c>
      <c r="M8">
        <f t="shared" si="2"/>
        <v>-0.5381932028209369</v>
      </c>
      <c r="N8">
        <f t="shared" si="3"/>
        <v>-0.407360879672231</v>
      </c>
      <c r="O8">
        <f t="shared" si="4"/>
        <v>7.409578623761755</v>
      </c>
    </row>
    <row r="9" spans="1:15" ht="12.75">
      <c r="A9" t="s">
        <v>183</v>
      </c>
      <c r="B9">
        <v>1</v>
      </c>
      <c r="C9" t="s">
        <v>336</v>
      </c>
      <c r="F9" t="s">
        <v>203</v>
      </c>
      <c r="G9" t="s">
        <v>199</v>
      </c>
      <c r="H9" t="s">
        <v>204</v>
      </c>
      <c r="I9" t="s">
        <v>210</v>
      </c>
      <c r="J9">
        <v>1.9</v>
      </c>
      <c r="K9">
        <f t="shared" si="0"/>
        <v>-0.8028212464158996</v>
      </c>
      <c r="L9">
        <f t="shared" si="1"/>
        <v>2.4209068036909764</v>
      </c>
      <c r="M9">
        <f t="shared" si="2"/>
        <v>-0.46271783414365814</v>
      </c>
      <c r="N9">
        <f t="shared" si="3"/>
        <v>-0.30957777985334634</v>
      </c>
      <c r="O9">
        <f t="shared" si="4"/>
        <v>2.8726336196318827</v>
      </c>
    </row>
    <row r="10" spans="1:15" ht="12.75">
      <c r="A10" t="s">
        <v>184</v>
      </c>
      <c r="B10">
        <v>109.47122</v>
      </c>
      <c r="F10">
        <v>44195</v>
      </c>
      <c r="G10">
        <v>0.13742</v>
      </c>
      <c r="H10">
        <v>0</v>
      </c>
      <c r="I10">
        <v>6.6</v>
      </c>
      <c r="J10">
        <v>2</v>
      </c>
      <c r="K10">
        <f t="shared" si="0"/>
        <v>-0.647617225307189</v>
      </c>
      <c r="L10">
        <f t="shared" si="1"/>
        <v>0.7823497249706706</v>
      </c>
      <c r="M10">
        <f t="shared" si="2"/>
        <v>-0.3913804334289761</v>
      </c>
      <c r="N10">
        <f t="shared" si="3"/>
        <v>-0.23522756525989083</v>
      </c>
      <c r="O10">
        <f t="shared" si="4"/>
        <v>0.8492712923017132</v>
      </c>
    </row>
    <row r="11" spans="1:15" ht="12.75">
      <c r="A11" t="s">
        <v>160</v>
      </c>
      <c r="B11">
        <v>-0.8476</v>
      </c>
      <c r="E11" t="s">
        <v>338</v>
      </c>
      <c r="J11">
        <v>2.1</v>
      </c>
      <c r="K11">
        <f t="shared" si="0"/>
        <v>-0.5168153276736708</v>
      </c>
      <c r="L11">
        <f t="shared" si="1"/>
        <v>-0.03699362356431335</v>
      </c>
      <c r="M11">
        <f t="shared" si="2"/>
        <v>-0.32916358654220446</v>
      </c>
      <c r="N11">
        <f t="shared" si="3"/>
        <v>-0.17955550081646343</v>
      </c>
      <c r="O11">
        <f t="shared" si="4"/>
        <v>-0.029645315712670633</v>
      </c>
    </row>
    <row r="12" spans="1:15" ht="12.75">
      <c r="A12" t="s">
        <v>161</v>
      </c>
      <c r="B12">
        <v>0.4238</v>
      </c>
      <c r="J12">
        <v>2.2</v>
      </c>
      <c r="K12">
        <f t="shared" si="0"/>
        <v>-0.41038695452217666</v>
      </c>
      <c r="L12">
        <f t="shared" si="1"/>
        <v>-0.41075427842360623</v>
      </c>
      <c r="M12">
        <f t="shared" si="2"/>
        <v>-0.2768156688520491</v>
      </c>
      <c r="N12">
        <f t="shared" si="3"/>
        <v>-0.13800501713078447</v>
      </c>
      <c r="O12">
        <f t="shared" si="4"/>
        <v>-0.3817885731434196</v>
      </c>
    </row>
    <row r="13" spans="1:15" ht="12.75">
      <c r="A13" t="s">
        <v>185</v>
      </c>
      <c r="B13">
        <v>628937.6</v>
      </c>
      <c r="J13">
        <v>2.3</v>
      </c>
      <c r="K13">
        <f t="shared" si="0"/>
        <v>-0.3255102928535582</v>
      </c>
      <c r="L13">
        <f t="shared" si="1"/>
        <v>-0.5488070561637041</v>
      </c>
      <c r="M13">
        <f t="shared" si="2"/>
        <v>-0.23346818737367478</v>
      </c>
      <c r="N13">
        <f t="shared" si="3"/>
        <v>-0.10691157326843802</v>
      </c>
      <c r="O13">
        <f t="shared" si="4"/>
        <v>-0.49253607429637536</v>
      </c>
    </row>
    <row r="14" spans="1:15" ht="12.75">
      <c r="A14" t="s">
        <v>186</v>
      </c>
      <c r="B14">
        <v>625</v>
      </c>
      <c r="J14">
        <v>2.4</v>
      </c>
      <c r="K14">
        <f t="shared" si="0"/>
        <v>-0.2585690968088512</v>
      </c>
      <c r="L14">
        <f t="shared" si="1"/>
        <v>-0.5675518194666778</v>
      </c>
      <c r="M14">
        <f t="shared" si="2"/>
        <v>-0.1977797965108539</v>
      </c>
      <c r="N14">
        <f t="shared" si="3"/>
        <v>-0.08351141541979493</v>
      </c>
      <c r="O14">
        <f t="shared" si="4"/>
        <v>-0.49583605201753783</v>
      </c>
    </row>
    <row r="15" spans="10:15" ht="12.75">
      <c r="J15">
        <v>2.5</v>
      </c>
      <c r="K15">
        <f t="shared" si="0"/>
        <v>-0.20605790936372523</v>
      </c>
      <c r="L15">
        <f t="shared" si="1"/>
        <v>-0.5304205014102767</v>
      </c>
      <c r="M15">
        <f t="shared" si="2"/>
        <v>-0.16840471880400376</v>
      </c>
      <c r="N15">
        <f t="shared" si="3"/>
        <v>-0.0657745706855072</v>
      </c>
      <c r="O15">
        <f t="shared" si="4"/>
        <v>-0.4549281653889145</v>
      </c>
    </row>
    <row r="16" spans="1:15" ht="12.75">
      <c r="A16" t="s">
        <v>211</v>
      </c>
      <c r="B16" t="s">
        <v>200</v>
      </c>
      <c r="C16" t="s">
        <v>199</v>
      </c>
      <c r="D16" t="s">
        <v>209</v>
      </c>
      <c r="E16" t="s">
        <v>198</v>
      </c>
      <c r="F16" t="s">
        <v>203</v>
      </c>
      <c r="G16" t="s">
        <v>199</v>
      </c>
      <c r="H16" t="s">
        <v>210</v>
      </c>
      <c r="I16" t="s">
        <v>204</v>
      </c>
      <c r="J16">
        <v>2.6</v>
      </c>
      <c r="K16">
        <f t="shared" si="0"/>
        <v>-0.16493203233425238</v>
      </c>
      <c r="L16">
        <f t="shared" si="1"/>
        <v>-0.471104494225302</v>
      </c>
      <c r="M16">
        <f t="shared" si="2"/>
        <v>-0.1441595038969281</v>
      </c>
      <c r="N16">
        <f t="shared" si="3"/>
        <v>-0.05222464140142543</v>
      </c>
      <c r="O16">
        <f t="shared" si="4"/>
        <v>-0.3994281786143039</v>
      </c>
    </row>
    <row r="17" spans="1:15" ht="12.75">
      <c r="A17" t="s">
        <v>208</v>
      </c>
      <c r="J17">
        <v>2.7</v>
      </c>
      <c r="K17">
        <f t="shared" si="0"/>
        <v>-0.13269098634364082</v>
      </c>
      <c r="L17">
        <f t="shared" si="1"/>
        <v>-0.40679688702977235</v>
      </c>
      <c r="M17">
        <f t="shared" si="2"/>
        <v>-0.1240610919191945</v>
      </c>
      <c r="N17">
        <f t="shared" si="3"/>
        <v>-0.04178953218898135</v>
      </c>
      <c r="O17">
        <f t="shared" si="4"/>
        <v>-0.34278358561932426</v>
      </c>
    </row>
    <row r="18" spans="1:15" ht="12.75">
      <c r="A18" t="s">
        <v>340</v>
      </c>
      <c r="J18">
        <v>2.8</v>
      </c>
      <c r="K18">
        <f t="shared" si="0"/>
        <v>-0.1073452704155507</v>
      </c>
      <c r="L18">
        <f t="shared" si="1"/>
        <v>-0.3456897237364069</v>
      </c>
      <c r="M18">
        <f t="shared" si="2"/>
        <v>-0.1073145582466533</v>
      </c>
      <c r="N18">
        <f t="shared" si="3"/>
        <v>-0.03368852396039172</v>
      </c>
      <c r="O18">
        <f t="shared" si="4"/>
        <v>-0.29065068008108197</v>
      </c>
    </row>
    <row r="19" spans="1:15" ht="12.75">
      <c r="A19" t="s">
        <v>341</v>
      </c>
      <c r="J19">
        <v>2.9</v>
      </c>
      <c r="K19">
        <f t="shared" si="0"/>
        <v>-0.08734097818612276</v>
      </c>
      <c r="L19">
        <f t="shared" si="1"/>
        <v>-0.2911814659183249</v>
      </c>
      <c r="M19">
        <f t="shared" si="2"/>
        <v>-0.09328487826944092</v>
      </c>
      <c r="N19">
        <f t="shared" si="3"/>
        <v>-0.02735009211398533</v>
      </c>
      <c r="O19">
        <f t="shared" si="4"/>
        <v>-0.24497150812100502</v>
      </c>
    </row>
    <row r="20" spans="1:15" ht="12.75">
      <c r="A20" t="s">
        <v>342</v>
      </c>
      <c r="J20">
        <v>3</v>
      </c>
      <c r="K20">
        <f t="shared" si="0"/>
        <v>-0.07147717866686565</v>
      </c>
      <c r="L20">
        <f t="shared" si="1"/>
        <v>-0.24421090874166496</v>
      </c>
      <c r="M20">
        <f t="shared" si="2"/>
        <v>-0.0814668818823093</v>
      </c>
      <c r="N20">
        <f t="shared" si="3"/>
        <v>-0.022353100995121594</v>
      </c>
      <c r="O20">
        <f t="shared" si="4"/>
        <v>-0.20597325733599944</v>
      </c>
    </row>
    <row r="21" ht="12.75">
      <c r="A21" t="s">
        <v>343</v>
      </c>
    </row>
    <row r="22" ht="12.75">
      <c r="A22" t="s">
        <v>344</v>
      </c>
    </row>
    <row r="23" ht="12.75">
      <c r="A23" t="s">
        <v>345</v>
      </c>
    </row>
    <row r="24" ht="12.75">
      <c r="A24" t="s">
        <v>346</v>
      </c>
    </row>
    <row r="25" ht="12.75">
      <c r="A25" t="s">
        <v>347</v>
      </c>
    </row>
    <row r="27" spans="2:9" ht="12.75">
      <c r="B27" t="s">
        <v>260</v>
      </c>
      <c r="C27" t="s">
        <v>329</v>
      </c>
      <c r="D27" t="s">
        <v>8</v>
      </c>
      <c r="E27" t="s">
        <v>348</v>
      </c>
      <c r="F27" t="s">
        <v>269</v>
      </c>
      <c r="G27" t="s">
        <v>349</v>
      </c>
      <c r="H27" t="s">
        <v>322</v>
      </c>
      <c r="I27" t="s">
        <v>350</v>
      </c>
    </row>
    <row r="28" spans="1:9" ht="12.75">
      <c r="A28" t="s">
        <v>213</v>
      </c>
      <c r="B28">
        <v>26127.86806883365</v>
      </c>
      <c r="C28">
        <v>0.1675943011233846</v>
      </c>
      <c r="D28">
        <v>52.427342256214146</v>
      </c>
      <c r="E28">
        <f>1/6*(LN(D28/B28)-6*(LN(C28)+LN(6)))</f>
        <v>-1.040771960165436</v>
      </c>
      <c r="F28">
        <v>0.9</v>
      </c>
      <c r="G28">
        <f>LN(F28)-F28-E28</f>
        <v>0.03541144450760969</v>
      </c>
      <c r="H28">
        <f>6*C28*F28</f>
        <v>0.905009226066277</v>
      </c>
      <c r="I28">
        <f>1/4*B28*F28*EXP(-6*F28)-D28/(4*C28^6*6^6)*1/F28^6</f>
        <v>2.696920535696343</v>
      </c>
    </row>
    <row r="29" spans="1:9" ht="12.75">
      <c r="A29" t="s">
        <v>214</v>
      </c>
      <c r="B29">
        <v>197376.4340344168</v>
      </c>
      <c r="C29">
        <v>0.18397503826680794</v>
      </c>
      <c r="D29">
        <v>189.94694072657745</v>
      </c>
      <c r="E29">
        <f>1/6*(LN(D29/B29)-6*(LN(C29)+LN(6)))</f>
        <v>-1.2564914842648036</v>
      </c>
      <c r="F29">
        <v>1.1</v>
      </c>
      <c r="G29">
        <f>LN(F29)-F29-E29</f>
        <v>0.2518016640691285</v>
      </c>
      <c r="H29">
        <f>6*C29*F29</f>
        <v>1.2142352525609326</v>
      </c>
      <c r="I29">
        <f>1/4*B29*F29*EXP(-6*F29)-D29/(4*C29^6*6^6)*1/F29^6</f>
        <v>59.02193323726175</v>
      </c>
    </row>
    <row r="30" spans="1:5" ht="12.75">
      <c r="A30" s="34" t="s">
        <v>351</v>
      </c>
      <c r="B30" s="34"/>
      <c r="C30" s="34"/>
      <c r="D30" s="34"/>
      <c r="E30" s="34"/>
    </row>
    <row r="31" spans="1:5" ht="12.75">
      <c r="A31" s="34"/>
      <c r="B31" s="34" t="s">
        <v>327</v>
      </c>
      <c r="C31" s="34" t="s">
        <v>322</v>
      </c>
      <c r="D31" s="34"/>
      <c r="E31" s="34"/>
    </row>
    <row r="32" spans="1:5" ht="12.75">
      <c r="A32" s="34" t="s">
        <v>213</v>
      </c>
      <c r="B32" s="34">
        <v>0.773764697</v>
      </c>
      <c r="C32" s="34">
        <v>1.320569461</v>
      </c>
      <c r="D32" s="34"/>
      <c r="E32" s="34"/>
    </row>
    <row r="33" spans="1:5" ht="12.75">
      <c r="A33" s="34"/>
      <c r="B33" s="34">
        <v>0.50258094</v>
      </c>
      <c r="C33" s="34">
        <v>2.094727283</v>
      </c>
      <c r="D33" s="34"/>
      <c r="E33" s="34"/>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M177"/>
  <sheetViews>
    <sheetView workbookViewId="0" topLeftCell="K87">
      <selection activeCell="T102" sqref="T102"/>
    </sheetView>
  </sheetViews>
  <sheetFormatPr defaultColWidth="9.140625" defaultRowHeight="12.75"/>
  <cols>
    <col min="3" max="4" width="13.140625" style="0" bestFit="1" customWidth="1"/>
    <col min="10" max="10" width="12.421875" style="0" bestFit="1" customWidth="1"/>
    <col min="19" max="19" width="12.421875" style="0" bestFit="1" customWidth="1"/>
    <col min="23" max="23" width="12.00390625" style="0" customWidth="1"/>
    <col min="28" max="28" width="16.28125" style="0" customWidth="1"/>
    <col min="33" max="33" width="12.7109375" style="0" customWidth="1"/>
    <col min="34" max="34" width="19.00390625" style="0" customWidth="1"/>
    <col min="35" max="35" width="14.8515625" style="0" customWidth="1"/>
    <col min="36" max="36" width="13.8515625" style="0" customWidth="1"/>
    <col min="37" max="37" width="12.7109375" style="0" customWidth="1"/>
    <col min="38" max="38" width="13.57421875" style="0" customWidth="1"/>
    <col min="39" max="39" width="14.8515625" style="0" customWidth="1"/>
  </cols>
  <sheetData>
    <row r="1" ht="12.75">
      <c r="A1" t="s">
        <v>216</v>
      </c>
    </row>
    <row r="3" spans="1:2" ht="12.75">
      <c r="A3" t="s">
        <v>225</v>
      </c>
      <c r="B3" t="s">
        <v>226</v>
      </c>
    </row>
    <row r="4" spans="1:8" ht="12.75">
      <c r="A4" t="s">
        <v>229</v>
      </c>
      <c r="B4">
        <v>1</v>
      </c>
      <c r="C4">
        <v>2</v>
      </c>
      <c r="D4">
        <v>3</v>
      </c>
      <c r="E4">
        <v>4</v>
      </c>
      <c r="F4">
        <v>5</v>
      </c>
      <c r="G4">
        <v>6</v>
      </c>
      <c r="H4">
        <v>7</v>
      </c>
    </row>
    <row r="5" spans="1:8" ht="12.75">
      <c r="A5" t="s">
        <v>228</v>
      </c>
      <c r="B5" t="s">
        <v>217</v>
      </c>
      <c r="C5" t="s">
        <v>218</v>
      </c>
      <c r="D5" t="s">
        <v>219</v>
      </c>
      <c r="E5" t="s">
        <v>220</v>
      </c>
      <c r="F5" t="s">
        <v>221</v>
      </c>
      <c r="G5" t="s">
        <v>222</v>
      </c>
      <c r="H5" t="s">
        <v>223</v>
      </c>
    </row>
    <row r="6" spans="1:8" ht="12.75">
      <c r="A6" t="s">
        <v>224</v>
      </c>
      <c r="B6">
        <v>-0.925</v>
      </c>
      <c r="C6">
        <v>0.07</v>
      </c>
      <c r="D6">
        <v>1.427</v>
      </c>
      <c r="E6">
        <v>-0.54</v>
      </c>
      <c r="F6">
        <v>-0.207</v>
      </c>
      <c r="G6">
        <v>0</v>
      </c>
      <c r="H6">
        <v>0.676</v>
      </c>
    </row>
    <row r="7" spans="1:10" ht="12.75">
      <c r="A7" t="s">
        <v>230</v>
      </c>
      <c r="I7" t="s">
        <v>107</v>
      </c>
      <c r="J7" t="s">
        <v>247</v>
      </c>
    </row>
    <row r="8" spans="1:9" ht="12.75">
      <c r="A8">
        <v>-180</v>
      </c>
      <c r="B8">
        <f>1/2*B$6*(1-COS(B$4*$A8*PI()/180))</f>
        <v>-0.925</v>
      </c>
      <c r="C8">
        <f aca="true" t="shared" si="0" ref="C8:H23">1/2*C$6*(1-COS(C$4*$A8*PI()/180))</f>
        <v>0</v>
      </c>
      <c r="D8">
        <f t="shared" si="0"/>
        <v>1.427</v>
      </c>
      <c r="E8">
        <f t="shared" si="0"/>
        <v>0</v>
      </c>
      <c r="F8">
        <f t="shared" si="0"/>
        <v>-0.207</v>
      </c>
      <c r="G8">
        <f t="shared" si="0"/>
        <v>0</v>
      </c>
      <c r="H8">
        <f t="shared" si="0"/>
        <v>0.676</v>
      </c>
      <c r="I8" s="22">
        <f>SUM(B8:H8)</f>
        <v>0.9710000000000001</v>
      </c>
    </row>
    <row r="9" spans="1:9" ht="12.75">
      <c r="A9">
        <v>-170</v>
      </c>
      <c r="B9">
        <f>1/2*B$6*(1-COS(B$4*$A9*PI()/180))</f>
        <v>-0.9179735857681462</v>
      </c>
      <c r="C9">
        <f t="shared" si="0"/>
        <v>0.0021107582724932054</v>
      </c>
      <c r="D9">
        <f t="shared" si="0"/>
        <v>1.3314091256001972</v>
      </c>
      <c r="E9">
        <f t="shared" si="0"/>
        <v>-0.06316800035787588</v>
      </c>
      <c r="F9">
        <f t="shared" si="0"/>
        <v>-0.17002851760255672</v>
      </c>
      <c r="G9">
        <f t="shared" si="0"/>
        <v>0</v>
      </c>
      <c r="H9">
        <f t="shared" si="0"/>
        <v>0.45360280844407513</v>
      </c>
      <c r="I9">
        <f aca="true" t="shared" si="1" ref="I9:I44">SUM(B9:H9)</f>
        <v>0.6359525885881867</v>
      </c>
    </row>
    <row r="10" spans="1:11" ht="12.75">
      <c r="A10">
        <v>-160</v>
      </c>
      <c r="B10">
        <f aca="true" t="shared" si="2" ref="B10:H44">1/2*B$6*(1-COS(B$4*$A10*PI()/180))</f>
        <v>-0.8971078371134827</v>
      </c>
      <c r="C10">
        <f t="shared" si="0"/>
        <v>0.008188444490835778</v>
      </c>
      <c r="D10">
        <f t="shared" si="0"/>
        <v>1.0702499999999995</v>
      </c>
      <c r="E10">
        <f t="shared" si="0"/>
        <v>-0.223114992029929</v>
      </c>
      <c r="F10">
        <f t="shared" si="0"/>
        <v>-0.08552741361147266</v>
      </c>
      <c r="G10">
        <f t="shared" si="0"/>
        <v>0</v>
      </c>
      <c r="H10">
        <f t="shared" si="0"/>
        <v>0.0790769782257851</v>
      </c>
      <c r="I10">
        <f t="shared" si="1"/>
        <v>-0.04823482003826404</v>
      </c>
      <c r="K10">
        <f>4*0.38-0.971</f>
        <v>0.549</v>
      </c>
    </row>
    <row r="11" spans="1:9" ht="12.75">
      <c r="A11">
        <v>-150</v>
      </c>
      <c r="B11">
        <f t="shared" si="2"/>
        <v>-0.863036749250303</v>
      </c>
      <c r="C11">
        <f t="shared" si="0"/>
        <v>0.017499999999999998</v>
      </c>
      <c r="D11">
        <f t="shared" si="0"/>
        <v>0.7134999999999998</v>
      </c>
      <c r="E11">
        <f t="shared" si="0"/>
        <v>-0.40499999999999997</v>
      </c>
      <c r="F11">
        <f t="shared" si="0"/>
        <v>-0.013866370708310547</v>
      </c>
      <c r="G11">
        <f t="shared" si="0"/>
        <v>0</v>
      </c>
      <c r="H11">
        <f t="shared" si="0"/>
        <v>0.04528341352085976</v>
      </c>
      <c r="I11">
        <f t="shared" si="1"/>
        <v>-0.505619706437754</v>
      </c>
    </row>
    <row r="12" spans="1:9" ht="12.75">
      <c r="A12">
        <v>-140</v>
      </c>
      <c r="B12">
        <f t="shared" si="2"/>
        <v>-0.8167955549425273</v>
      </c>
      <c r="C12">
        <f t="shared" si="0"/>
        <v>0.028922313781657452</v>
      </c>
      <c r="D12">
        <f t="shared" si="0"/>
        <v>0.3567500000000002</v>
      </c>
      <c r="E12">
        <f t="shared" si="0"/>
        <v>-0.5237170076121954</v>
      </c>
      <c r="F12">
        <f t="shared" si="0"/>
        <v>-0.006241813748658546</v>
      </c>
      <c r="G12">
        <f t="shared" si="0"/>
        <v>0</v>
      </c>
      <c r="H12">
        <f t="shared" si="0"/>
        <v>0.39669308405142323</v>
      </c>
      <c r="I12">
        <f t="shared" si="1"/>
        <v>-0.5643889784703005</v>
      </c>
    </row>
    <row r="13" spans="1:11" ht="12.75">
      <c r="A13">
        <v>-130</v>
      </c>
      <c r="B13">
        <f t="shared" si="2"/>
        <v>-0.7597892694800245</v>
      </c>
      <c r="C13">
        <f t="shared" si="0"/>
        <v>0.04107768621834256</v>
      </c>
      <c r="D13">
        <f t="shared" si="0"/>
        <v>0.09559087439980275</v>
      </c>
      <c r="E13">
        <f t="shared" si="0"/>
        <v>-0.5237170076121953</v>
      </c>
      <c r="F13">
        <f t="shared" si="0"/>
        <v>-0.06810091516579336</v>
      </c>
      <c r="G13">
        <f t="shared" si="0"/>
        <v>0</v>
      </c>
      <c r="H13">
        <f t="shared" si="0"/>
        <v>0.6708650205181264</v>
      </c>
      <c r="I13">
        <f t="shared" si="1"/>
        <v>-0.5440736111217415</v>
      </c>
      <c r="K13">
        <f>(0.42+0.971)/4</f>
        <v>0.34775</v>
      </c>
    </row>
    <row r="14" spans="1:12" ht="12.75">
      <c r="A14">
        <v>-120</v>
      </c>
      <c r="B14">
        <f t="shared" si="2"/>
        <v>-0.69375</v>
      </c>
      <c r="C14">
        <f t="shared" si="0"/>
        <v>0.05250000000000002</v>
      </c>
      <c r="D14">
        <f t="shared" si="0"/>
        <v>0</v>
      </c>
      <c r="E14">
        <f t="shared" si="0"/>
        <v>-0.4049999999999998</v>
      </c>
      <c r="F14">
        <f t="shared" si="0"/>
        <v>-0.15524999999999997</v>
      </c>
      <c r="G14">
        <f t="shared" si="0"/>
        <v>0</v>
      </c>
      <c r="H14">
        <f t="shared" si="0"/>
        <v>0.5070000000000002</v>
      </c>
      <c r="I14">
        <f t="shared" si="1"/>
        <v>-0.6944999999999993</v>
      </c>
      <c r="K14" t="s">
        <v>260</v>
      </c>
      <c r="L14" t="s">
        <v>8</v>
      </c>
    </row>
    <row r="15" spans="1:12" ht="12.75">
      <c r="A15">
        <v>-110</v>
      </c>
      <c r="B15">
        <f t="shared" si="2"/>
        <v>-0.6206843162881218</v>
      </c>
      <c r="C15">
        <f t="shared" si="0"/>
        <v>0.061811555509164236</v>
      </c>
      <c r="D15">
        <f t="shared" si="0"/>
        <v>0.09559087439980322</v>
      </c>
      <c r="E15">
        <f t="shared" si="0"/>
        <v>-0.2231149920299288</v>
      </c>
      <c r="F15">
        <f t="shared" si="0"/>
        <v>-0.20542760243676353</v>
      </c>
      <c r="G15">
        <f t="shared" si="0"/>
        <v>0</v>
      </c>
      <c r="H15">
        <f t="shared" si="0"/>
        <v>0.12073778792594977</v>
      </c>
      <c r="I15">
        <f t="shared" si="1"/>
        <v>-0.7710866929198967</v>
      </c>
      <c r="J15" t="s">
        <v>298</v>
      </c>
      <c r="K15">
        <v>63635</v>
      </c>
      <c r="L15">
        <v>124.3</v>
      </c>
    </row>
    <row r="16" spans="1:12" ht="12.75">
      <c r="A16">
        <v>-100</v>
      </c>
      <c r="B16">
        <f t="shared" si="2"/>
        <v>-0.5428122821709553</v>
      </c>
      <c r="C16">
        <f t="shared" si="0"/>
        <v>0.06788924172750681</v>
      </c>
      <c r="D16">
        <f t="shared" si="0"/>
        <v>0.35674999999999996</v>
      </c>
      <c r="E16">
        <f t="shared" si="0"/>
        <v>-0.06316800035787591</v>
      </c>
      <c r="F16">
        <f t="shared" si="0"/>
        <v>-0.18278559986281415</v>
      </c>
      <c r="G16">
        <f t="shared" si="0"/>
        <v>0</v>
      </c>
      <c r="H16">
        <f t="shared" si="0"/>
        <v>0.020383894174363176</v>
      </c>
      <c r="I16">
        <f t="shared" si="1"/>
        <v>-0.34374274648977543</v>
      </c>
      <c r="J16" t="s">
        <v>299</v>
      </c>
      <c r="K16">
        <f>0.75*K15</f>
        <v>47726.25</v>
      </c>
      <c r="L16">
        <f>0.75*L15</f>
        <v>93.225</v>
      </c>
    </row>
    <row r="17" spans="1:12" ht="12.75">
      <c r="A17">
        <v>-90</v>
      </c>
      <c r="B17">
        <f t="shared" si="2"/>
        <v>-0.46249999999999997</v>
      </c>
      <c r="C17">
        <f t="shared" si="0"/>
        <v>0.07</v>
      </c>
      <c r="D17">
        <f t="shared" si="0"/>
        <v>0.7135000000000001</v>
      </c>
      <c r="E17">
        <f t="shared" si="0"/>
        <v>0</v>
      </c>
      <c r="F17">
        <f t="shared" si="0"/>
        <v>-0.10349999999999997</v>
      </c>
      <c r="G17">
        <f t="shared" si="0"/>
        <v>0</v>
      </c>
      <c r="H17">
        <f t="shared" si="0"/>
        <v>0.3380000000000002</v>
      </c>
      <c r="I17">
        <f t="shared" si="1"/>
        <v>0.5555000000000003</v>
      </c>
      <c r="J17" t="s">
        <v>300</v>
      </c>
      <c r="K17">
        <f>0.5*K15</f>
        <v>31817.5</v>
      </c>
      <c r="L17">
        <f>0.5*L15</f>
        <v>62.15</v>
      </c>
    </row>
    <row r="18" spans="1:12" ht="12.75">
      <c r="A18">
        <v>-80</v>
      </c>
      <c r="B18">
        <f t="shared" si="2"/>
        <v>-0.3821877178290447</v>
      </c>
      <c r="C18">
        <f t="shared" si="0"/>
        <v>0.06788924172750681</v>
      </c>
      <c r="D18">
        <f t="shared" si="0"/>
        <v>1.0702500000000004</v>
      </c>
      <c r="E18">
        <f t="shared" si="0"/>
        <v>-0.063168000357876</v>
      </c>
      <c r="F18">
        <f t="shared" si="0"/>
        <v>-0.024214400137185763</v>
      </c>
      <c r="G18">
        <f t="shared" si="0"/>
        <v>0</v>
      </c>
      <c r="H18">
        <f t="shared" si="0"/>
        <v>0.6556161058256371</v>
      </c>
      <c r="I18">
        <f t="shared" si="1"/>
        <v>1.324185229229038</v>
      </c>
      <c r="J18" t="s">
        <v>301</v>
      </c>
      <c r="K18">
        <f>0.25*K15</f>
        <v>15908.75</v>
      </c>
      <c r="L18">
        <f>0.25*L15</f>
        <v>31.075</v>
      </c>
    </row>
    <row r="19" spans="1:9" ht="12.75">
      <c r="A19">
        <v>-70</v>
      </c>
      <c r="B19">
        <f t="shared" si="2"/>
        <v>-0.30431568371187817</v>
      </c>
      <c r="C19">
        <f t="shared" si="0"/>
        <v>0.061811555509164236</v>
      </c>
      <c r="D19">
        <f t="shared" si="0"/>
        <v>1.331409125600197</v>
      </c>
      <c r="E19">
        <f t="shared" si="0"/>
        <v>-0.22311499202992893</v>
      </c>
      <c r="F19">
        <f t="shared" si="0"/>
        <v>-0.0015723975632364812</v>
      </c>
      <c r="G19">
        <f t="shared" si="0"/>
        <v>0</v>
      </c>
      <c r="H19">
        <f t="shared" si="0"/>
        <v>0.55526221207405</v>
      </c>
      <c r="I19">
        <f t="shared" si="1"/>
        <v>1.4194798198783678</v>
      </c>
    </row>
    <row r="20" spans="1:9" ht="12.75">
      <c r="A20">
        <v>-60</v>
      </c>
      <c r="B20">
        <f t="shared" si="2"/>
        <v>-0.23124999999999996</v>
      </c>
      <c r="C20">
        <f t="shared" si="0"/>
        <v>0.0525</v>
      </c>
      <c r="D20">
        <f t="shared" si="0"/>
        <v>1.427</v>
      </c>
      <c r="E20">
        <f t="shared" si="0"/>
        <v>-0.40500000000000014</v>
      </c>
      <c r="F20">
        <f t="shared" si="0"/>
        <v>-0.051749999999999984</v>
      </c>
      <c r="G20">
        <f t="shared" si="0"/>
        <v>0</v>
      </c>
      <c r="H20">
        <f t="shared" si="0"/>
        <v>0.1690000000000001</v>
      </c>
      <c r="I20">
        <f t="shared" si="1"/>
        <v>0.9605000000000001</v>
      </c>
    </row>
    <row r="21" spans="1:9" ht="12.75">
      <c r="A21">
        <v>-50</v>
      </c>
      <c r="B21">
        <f t="shared" si="2"/>
        <v>-0.16521073051997556</v>
      </c>
      <c r="C21">
        <f t="shared" si="0"/>
        <v>0.04107768621834256</v>
      </c>
      <c r="D21">
        <f t="shared" si="0"/>
        <v>1.3314091256001972</v>
      </c>
      <c r="E21">
        <f t="shared" si="0"/>
        <v>-0.5237170076121953</v>
      </c>
      <c r="F21">
        <f t="shared" si="0"/>
        <v>-0.13889908483420677</v>
      </c>
      <c r="G21">
        <f t="shared" si="0"/>
        <v>0</v>
      </c>
      <c r="H21">
        <f t="shared" si="0"/>
        <v>0.005134979481873727</v>
      </c>
      <c r="I21">
        <f t="shared" si="1"/>
        <v>0.5497949683340357</v>
      </c>
    </row>
    <row r="22" spans="1:12" ht="12.75">
      <c r="A22">
        <v>-40</v>
      </c>
      <c r="B22">
        <f t="shared" si="2"/>
        <v>-0.10820444505747268</v>
      </c>
      <c r="C22">
        <f t="shared" si="0"/>
        <v>0.02892231378165744</v>
      </c>
      <c r="D22">
        <f t="shared" si="0"/>
        <v>1.07025</v>
      </c>
      <c r="E22">
        <f t="shared" si="0"/>
        <v>-0.5237170076121953</v>
      </c>
      <c r="F22">
        <f t="shared" si="0"/>
        <v>-0.2007581862513415</v>
      </c>
      <c r="G22">
        <f t="shared" si="0"/>
        <v>0</v>
      </c>
      <c r="H22">
        <f t="shared" si="0"/>
        <v>0.2793069159485777</v>
      </c>
      <c r="I22">
        <f t="shared" si="1"/>
        <v>0.5457995908092257</v>
      </c>
      <c r="L22">
        <f>2.7^(-3)*16000</f>
        <v>812.8842148046537</v>
      </c>
    </row>
    <row r="23" spans="1:9" ht="12.75">
      <c r="A23">
        <v>-30</v>
      </c>
      <c r="B23">
        <f t="shared" si="2"/>
        <v>-0.0619632507496971</v>
      </c>
      <c r="C23">
        <f t="shared" si="0"/>
        <v>0.017499999999999998</v>
      </c>
      <c r="D23">
        <f t="shared" si="0"/>
        <v>0.7134999999999999</v>
      </c>
      <c r="E23">
        <f t="shared" si="0"/>
        <v>-0.40499999999999997</v>
      </c>
      <c r="F23">
        <f t="shared" si="0"/>
        <v>-0.1931336292916894</v>
      </c>
      <c r="G23">
        <f t="shared" si="0"/>
        <v>0</v>
      </c>
      <c r="H23">
        <f t="shared" si="0"/>
        <v>0.6307165864791403</v>
      </c>
      <c r="I23">
        <f t="shared" si="1"/>
        <v>0.7016197064377537</v>
      </c>
    </row>
    <row r="24" spans="1:9" ht="12.75">
      <c r="A24">
        <v>-20</v>
      </c>
      <c r="B24">
        <f t="shared" si="2"/>
        <v>-0.027892162886517354</v>
      </c>
      <c r="C24">
        <f t="shared" si="2"/>
        <v>0.008188444490835771</v>
      </c>
      <c r="D24">
        <f t="shared" si="2"/>
        <v>0.35674999999999996</v>
      </c>
      <c r="E24">
        <f t="shared" si="2"/>
        <v>-0.2231149920299288</v>
      </c>
      <c r="F24">
        <f t="shared" si="2"/>
        <v>-0.12147258638852729</v>
      </c>
      <c r="G24">
        <f t="shared" si="2"/>
        <v>0</v>
      </c>
      <c r="H24">
        <f t="shared" si="2"/>
        <v>0.5969230217742145</v>
      </c>
      <c r="I24">
        <f t="shared" si="1"/>
        <v>0.5893817249600768</v>
      </c>
    </row>
    <row r="25" spans="1:9" ht="12.75">
      <c r="A25">
        <v>-10</v>
      </c>
      <c r="B25">
        <f t="shared" si="2"/>
        <v>-0.007026414231853791</v>
      </c>
      <c r="C25">
        <f t="shared" si="2"/>
        <v>0.0021107582724932054</v>
      </c>
      <c r="D25">
        <f t="shared" si="2"/>
        <v>0.09559087439980299</v>
      </c>
      <c r="E25">
        <f t="shared" si="2"/>
        <v>-0.06316800035787594</v>
      </c>
      <c r="F25">
        <f t="shared" si="2"/>
        <v>-0.036971482397443176</v>
      </c>
      <c r="G25">
        <f t="shared" si="2"/>
        <v>0</v>
      </c>
      <c r="H25">
        <f t="shared" si="2"/>
        <v>0.22239719155592394</v>
      </c>
      <c r="I25">
        <f t="shared" si="1"/>
        <v>0.21293292724104723</v>
      </c>
    </row>
    <row r="26" spans="1:9" ht="12.75">
      <c r="A26">
        <v>0</v>
      </c>
      <c r="B26">
        <f t="shared" si="2"/>
        <v>0</v>
      </c>
      <c r="C26">
        <f t="shared" si="2"/>
        <v>0</v>
      </c>
      <c r="D26">
        <f t="shared" si="2"/>
        <v>0</v>
      </c>
      <c r="E26">
        <f t="shared" si="2"/>
        <v>0</v>
      </c>
      <c r="F26">
        <f t="shared" si="2"/>
        <v>0</v>
      </c>
      <c r="G26">
        <f t="shared" si="2"/>
        <v>0</v>
      </c>
      <c r="H26">
        <f t="shared" si="2"/>
        <v>0</v>
      </c>
      <c r="I26">
        <f t="shared" si="1"/>
        <v>0</v>
      </c>
    </row>
    <row r="27" spans="1:9" ht="12.75">
      <c r="A27">
        <v>10</v>
      </c>
      <c r="B27">
        <f t="shared" si="2"/>
        <v>-0.007026414231853791</v>
      </c>
      <c r="C27">
        <f t="shared" si="2"/>
        <v>0.0021107582724932054</v>
      </c>
      <c r="D27">
        <f t="shared" si="2"/>
        <v>0.09559087439980299</v>
      </c>
      <c r="E27">
        <f t="shared" si="2"/>
        <v>-0.06316800035787594</v>
      </c>
      <c r="F27">
        <f t="shared" si="2"/>
        <v>-0.036971482397443176</v>
      </c>
      <c r="G27">
        <f t="shared" si="2"/>
        <v>0</v>
      </c>
      <c r="H27">
        <f t="shared" si="2"/>
        <v>0.22239719155592394</v>
      </c>
      <c r="I27">
        <f t="shared" si="1"/>
        <v>0.21293292724104723</v>
      </c>
    </row>
    <row r="28" spans="1:9" ht="12.75">
      <c r="A28">
        <v>20</v>
      </c>
      <c r="B28">
        <f t="shared" si="2"/>
        <v>-0.027892162886517354</v>
      </c>
      <c r="C28">
        <f t="shared" si="2"/>
        <v>0.008188444490835771</v>
      </c>
      <c r="D28">
        <f t="shared" si="2"/>
        <v>0.35674999999999996</v>
      </c>
      <c r="E28">
        <f t="shared" si="2"/>
        <v>-0.2231149920299288</v>
      </c>
      <c r="F28">
        <f t="shared" si="2"/>
        <v>-0.12147258638852729</v>
      </c>
      <c r="G28">
        <f t="shared" si="2"/>
        <v>0</v>
      </c>
      <c r="H28">
        <f t="shared" si="2"/>
        <v>0.5969230217742145</v>
      </c>
      <c r="I28">
        <f t="shared" si="1"/>
        <v>0.5893817249600768</v>
      </c>
    </row>
    <row r="29" spans="1:9" ht="12.75">
      <c r="A29">
        <v>30</v>
      </c>
      <c r="B29">
        <f t="shared" si="2"/>
        <v>-0.0619632507496971</v>
      </c>
      <c r="C29">
        <f t="shared" si="2"/>
        <v>0.017499999999999998</v>
      </c>
      <c r="D29">
        <f t="shared" si="2"/>
        <v>0.7134999999999999</v>
      </c>
      <c r="E29">
        <f t="shared" si="2"/>
        <v>-0.40499999999999997</v>
      </c>
      <c r="F29">
        <f t="shared" si="2"/>
        <v>-0.1931336292916894</v>
      </c>
      <c r="G29">
        <f t="shared" si="2"/>
        <v>0</v>
      </c>
      <c r="H29">
        <f t="shared" si="2"/>
        <v>0.6307165864791403</v>
      </c>
      <c r="I29">
        <f t="shared" si="1"/>
        <v>0.7016197064377537</v>
      </c>
    </row>
    <row r="30" spans="1:9" ht="12.75">
      <c r="A30">
        <v>40</v>
      </c>
      <c r="B30">
        <f t="shared" si="2"/>
        <v>-0.10820444505747268</v>
      </c>
      <c r="C30">
        <f t="shared" si="2"/>
        <v>0.02892231378165744</v>
      </c>
      <c r="D30">
        <f t="shared" si="2"/>
        <v>1.07025</v>
      </c>
      <c r="E30">
        <f t="shared" si="2"/>
        <v>-0.5237170076121953</v>
      </c>
      <c r="F30">
        <f t="shared" si="2"/>
        <v>-0.2007581862513415</v>
      </c>
      <c r="G30">
        <f t="shared" si="2"/>
        <v>0</v>
      </c>
      <c r="H30">
        <f t="shared" si="2"/>
        <v>0.2793069159485777</v>
      </c>
      <c r="I30">
        <f t="shared" si="1"/>
        <v>0.5457995908092257</v>
      </c>
    </row>
    <row r="31" spans="1:9" ht="12.75">
      <c r="A31">
        <v>50</v>
      </c>
      <c r="B31">
        <f t="shared" si="2"/>
        <v>-0.16521073051997556</v>
      </c>
      <c r="C31">
        <f t="shared" si="2"/>
        <v>0.04107768621834256</v>
      </c>
      <c r="D31">
        <f t="shared" si="2"/>
        <v>1.3314091256001972</v>
      </c>
      <c r="E31">
        <f t="shared" si="2"/>
        <v>-0.5237170076121953</v>
      </c>
      <c r="F31">
        <f t="shared" si="2"/>
        <v>-0.13889908483420677</v>
      </c>
      <c r="G31">
        <f t="shared" si="2"/>
        <v>0</v>
      </c>
      <c r="H31">
        <f t="shared" si="2"/>
        <v>0.005134979481873727</v>
      </c>
      <c r="I31">
        <f t="shared" si="1"/>
        <v>0.5497949683340357</v>
      </c>
    </row>
    <row r="32" spans="1:9" ht="12.75">
      <c r="A32">
        <v>60</v>
      </c>
      <c r="B32">
        <f t="shared" si="2"/>
        <v>-0.23124999999999996</v>
      </c>
      <c r="C32">
        <f t="shared" si="2"/>
        <v>0.0525</v>
      </c>
      <c r="D32">
        <f t="shared" si="2"/>
        <v>1.427</v>
      </c>
      <c r="E32">
        <f t="shared" si="2"/>
        <v>-0.40500000000000014</v>
      </c>
      <c r="F32">
        <f t="shared" si="2"/>
        <v>-0.051749999999999984</v>
      </c>
      <c r="G32">
        <f t="shared" si="2"/>
        <v>0</v>
      </c>
      <c r="H32">
        <f t="shared" si="2"/>
        <v>0.1690000000000001</v>
      </c>
      <c r="I32">
        <f t="shared" si="1"/>
        <v>0.9605000000000001</v>
      </c>
    </row>
    <row r="33" spans="1:9" ht="12.75">
      <c r="A33">
        <v>70</v>
      </c>
      <c r="B33">
        <f t="shared" si="2"/>
        <v>-0.30431568371187817</v>
      </c>
      <c r="C33">
        <f t="shared" si="2"/>
        <v>0.061811555509164236</v>
      </c>
      <c r="D33">
        <f t="shared" si="2"/>
        <v>1.331409125600197</v>
      </c>
      <c r="E33">
        <f t="shared" si="2"/>
        <v>-0.22311499202992893</v>
      </c>
      <c r="F33">
        <f t="shared" si="2"/>
        <v>-0.0015723975632364812</v>
      </c>
      <c r="G33">
        <f t="shared" si="2"/>
        <v>0</v>
      </c>
      <c r="H33">
        <f t="shared" si="2"/>
        <v>0.55526221207405</v>
      </c>
      <c r="I33">
        <f t="shared" si="1"/>
        <v>1.4194798198783678</v>
      </c>
    </row>
    <row r="34" spans="1:9" ht="12.75">
      <c r="A34">
        <v>80</v>
      </c>
      <c r="B34">
        <f t="shared" si="2"/>
        <v>-0.3821877178290447</v>
      </c>
      <c r="C34">
        <f t="shared" si="2"/>
        <v>0.06788924172750681</v>
      </c>
      <c r="D34">
        <f t="shared" si="2"/>
        <v>1.0702500000000004</v>
      </c>
      <c r="E34">
        <f t="shared" si="2"/>
        <v>-0.063168000357876</v>
      </c>
      <c r="F34">
        <f t="shared" si="2"/>
        <v>-0.024214400137185763</v>
      </c>
      <c r="G34">
        <f t="shared" si="2"/>
        <v>0</v>
      </c>
      <c r="H34">
        <f t="shared" si="2"/>
        <v>0.6556161058256371</v>
      </c>
      <c r="I34">
        <f t="shared" si="1"/>
        <v>1.324185229229038</v>
      </c>
    </row>
    <row r="35" spans="1:9" ht="12.75">
      <c r="A35">
        <v>90</v>
      </c>
      <c r="B35">
        <f t="shared" si="2"/>
        <v>-0.46249999999999997</v>
      </c>
      <c r="C35">
        <f t="shared" si="2"/>
        <v>0.07</v>
      </c>
      <c r="D35">
        <f t="shared" si="2"/>
        <v>0.7135000000000001</v>
      </c>
      <c r="E35">
        <f t="shared" si="2"/>
        <v>0</v>
      </c>
      <c r="F35">
        <f t="shared" si="2"/>
        <v>-0.10349999999999997</v>
      </c>
      <c r="G35">
        <f t="shared" si="2"/>
        <v>0</v>
      </c>
      <c r="H35">
        <f t="shared" si="2"/>
        <v>0.3380000000000002</v>
      </c>
      <c r="I35">
        <f t="shared" si="1"/>
        <v>0.5555000000000003</v>
      </c>
    </row>
    <row r="36" spans="1:9" ht="12.75">
      <c r="A36">
        <v>100</v>
      </c>
      <c r="B36">
        <f t="shared" si="2"/>
        <v>-0.5428122821709553</v>
      </c>
      <c r="C36">
        <f t="shared" si="2"/>
        <v>0.06788924172750681</v>
      </c>
      <c r="D36">
        <f t="shared" si="2"/>
        <v>0.35674999999999996</v>
      </c>
      <c r="E36">
        <f t="shared" si="2"/>
        <v>-0.06316800035787591</v>
      </c>
      <c r="F36">
        <f t="shared" si="2"/>
        <v>-0.18278559986281415</v>
      </c>
      <c r="G36">
        <f t="shared" si="2"/>
        <v>0</v>
      </c>
      <c r="H36">
        <f t="shared" si="2"/>
        <v>0.020383894174363176</v>
      </c>
      <c r="I36">
        <f t="shared" si="1"/>
        <v>-0.34374274648977543</v>
      </c>
    </row>
    <row r="37" spans="1:9" ht="12.75">
      <c r="A37">
        <v>110</v>
      </c>
      <c r="B37">
        <f t="shared" si="2"/>
        <v>-0.6206843162881218</v>
      </c>
      <c r="C37">
        <f t="shared" si="2"/>
        <v>0.061811555509164236</v>
      </c>
      <c r="D37">
        <f t="shared" si="2"/>
        <v>0.09559087439980322</v>
      </c>
      <c r="E37">
        <f t="shared" si="2"/>
        <v>-0.2231149920299288</v>
      </c>
      <c r="F37">
        <f t="shared" si="2"/>
        <v>-0.20542760243676353</v>
      </c>
      <c r="G37">
        <f t="shared" si="2"/>
        <v>0</v>
      </c>
      <c r="H37">
        <f t="shared" si="2"/>
        <v>0.12073778792594977</v>
      </c>
      <c r="I37">
        <f t="shared" si="1"/>
        <v>-0.7710866929198967</v>
      </c>
    </row>
    <row r="38" spans="1:9" ht="12.75">
      <c r="A38">
        <v>120</v>
      </c>
      <c r="B38">
        <f t="shared" si="2"/>
        <v>-0.69375</v>
      </c>
      <c r="C38">
        <f t="shared" si="2"/>
        <v>0.05250000000000002</v>
      </c>
      <c r="D38">
        <f t="shared" si="2"/>
        <v>0</v>
      </c>
      <c r="E38">
        <f t="shared" si="2"/>
        <v>-0.4049999999999998</v>
      </c>
      <c r="F38">
        <f t="shared" si="2"/>
        <v>-0.15524999999999997</v>
      </c>
      <c r="G38">
        <f t="shared" si="2"/>
        <v>0</v>
      </c>
      <c r="H38">
        <f t="shared" si="2"/>
        <v>0.5070000000000002</v>
      </c>
      <c r="I38">
        <f t="shared" si="1"/>
        <v>-0.6944999999999993</v>
      </c>
    </row>
    <row r="39" spans="1:9" ht="12.75">
      <c r="A39">
        <v>130</v>
      </c>
      <c r="B39">
        <f t="shared" si="2"/>
        <v>-0.7597892694800245</v>
      </c>
      <c r="C39">
        <f t="shared" si="2"/>
        <v>0.04107768621834256</v>
      </c>
      <c r="D39">
        <f t="shared" si="2"/>
        <v>0.09559087439980275</v>
      </c>
      <c r="E39">
        <f t="shared" si="2"/>
        <v>-0.5237170076121953</v>
      </c>
      <c r="F39">
        <f t="shared" si="2"/>
        <v>-0.06810091516579336</v>
      </c>
      <c r="G39">
        <f t="shared" si="2"/>
        <v>0</v>
      </c>
      <c r="H39">
        <f t="shared" si="2"/>
        <v>0.6708650205181264</v>
      </c>
      <c r="I39">
        <f t="shared" si="1"/>
        <v>-0.5440736111217415</v>
      </c>
    </row>
    <row r="40" spans="1:9" ht="12.75">
      <c r="A40">
        <v>140</v>
      </c>
      <c r="B40">
        <f t="shared" si="2"/>
        <v>-0.8167955549425273</v>
      </c>
      <c r="C40">
        <f t="shared" si="2"/>
        <v>0.028922313781657452</v>
      </c>
      <c r="D40">
        <f t="shared" si="2"/>
        <v>0.3567500000000002</v>
      </c>
      <c r="E40">
        <f t="shared" si="2"/>
        <v>-0.5237170076121954</v>
      </c>
      <c r="F40">
        <f t="shared" si="2"/>
        <v>-0.006241813748658546</v>
      </c>
      <c r="G40">
        <f t="shared" si="2"/>
        <v>0</v>
      </c>
      <c r="H40">
        <f t="shared" si="2"/>
        <v>0.39669308405142323</v>
      </c>
      <c r="I40">
        <f t="shared" si="1"/>
        <v>-0.5643889784703005</v>
      </c>
    </row>
    <row r="41" spans="1:9" ht="12.75">
      <c r="A41">
        <v>150</v>
      </c>
      <c r="B41">
        <f t="shared" si="2"/>
        <v>-0.863036749250303</v>
      </c>
      <c r="C41">
        <f t="shared" si="2"/>
        <v>0.017499999999999998</v>
      </c>
      <c r="D41">
        <f t="shared" si="2"/>
        <v>0.7134999999999998</v>
      </c>
      <c r="E41">
        <f t="shared" si="2"/>
        <v>-0.40499999999999997</v>
      </c>
      <c r="F41">
        <f t="shared" si="2"/>
        <v>-0.013866370708310547</v>
      </c>
      <c r="G41">
        <f t="shared" si="2"/>
        <v>0</v>
      </c>
      <c r="H41">
        <f t="shared" si="2"/>
        <v>0.04528341352085976</v>
      </c>
      <c r="I41">
        <f t="shared" si="1"/>
        <v>-0.505619706437754</v>
      </c>
    </row>
    <row r="42" spans="1:9" ht="12.75">
      <c r="A42">
        <v>160</v>
      </c>
      <c r="B42">
        <f t="shared" si="2"/>
        <v>-0.8971078371134827</v>
      </c>
      <c r="C42">
        <f t="shared" si="2"/>
        <v>0.008188444490835778</v>
      </c>
      <c r="D42">
        <f t="shared" si="2"/>
        <v>1.0702499999999995</v>
      </c>
      <c r="E42">
        <f t="shared" si="2"/>
        <v>-0.223114992029929</v>
      </c>
      <c r="F42">
        <f t="shared" si="2"/>
        <v>-0.08552741361147266</v>
      </c>
      <c r="G42">
        <f t="shared" si="2"/>
        <v>0</v>
      </c>
      <c r="H42">
        <f t="shared" si="2"/>
        <v>0.0790769782257851</v>
      </c>
      <c r="I42">
        <f t="shared" si="1"/>
        <v>-0.04823482003826404</v>
      </c>
    </row>
    <row r="43" spans="1:9" ht="12.75">
      <c r="A43">
        <v>170</v>
      </c>
      <c r="B43">
        <f t="shared" si="2"/>
        <v>-0.9179735857681462</v>
      </c>
      <c r="C43">
        <f t="shared" si="2"/>
        <v>0.0021107582724932054</v>
      </c>
      <c r="D43">
        <f t="shared" si="2"/>
        <v>1.3314091256001972</v>
      </c>
      <c r="E43">
        <f t="shared" si="2"/>
        <v>-0.06316800035787588</v>
      </c>
      <c r="F43">
        <f t="shared" si="2"/>
        <v>-0.17002851760255672</v>
      </c>
      <c r="G43">
        <f t="shared" si="2"/>
        <v>0</v>
      </c>
      <c r="H43">
        <f t="shared" si="2"/>
        <v>0.45360280844407513</v>
      </c>
      <c r="I43">
        <f t="shared" si="1"/>
        <v>0.6359525885881867</v>
      </c>
    </row>
    <row r="44" spans="1:9" ht="12.75">
      <c r="A44">
        <v>180</v>
      </c>
      <c r="B44">
        <f t="shared" si="2"/>
        <v>-0.925</v>
      </c>
      <c r="C44">
        <f t="shared" si="2"/>
        <v>0</v>
      </c>
      <c r="D44">
        <f t="shared" si="2"/>
        <v>1.427</v>
      </c>
      <c r="E44">
        <f t="shared" si="2"/>
        <v>0</v>
      </c>
      <c r="F44">
        <f t="shared" si="2"/>
        <v>-0.207</v>
      </c>
      <c r="G44">
        <f t="shared" si="2"/>
        <v>0</v>
      </c>
      <c r="H44">
        <f t="shared" si="2"/>
        <v>0.676</v>
      </c>
      <c r="I44">
        <f t="shared" si="1"/>
        <v>0.9710000000000001</v>
      </c>
    </row>
    <row r="45" ht="12.75">
      <c r="B45">
        <v>3</v>
      </c>
    </row>
    <row r="46" spans="1:2" ht="12.75">
      <c r="A46" t="s">
        <v>227</v>
      </c>
      <c r="B46">
        <v>-0.38</v>
      </c>
    </row>
    <row r="47" spans="1:4" ht="12.75">
      <c r="A47" t="s">
        <v>230</v>
      </c>
      <c r="B47" t="s">
        <v>107</v>
      </c>
      <c r="C47" t="s">
        <v>246</v>
      </c>
      <c r="D47" t="s">
        <v>231</v>
      </c>
    </row>
    <row r="48" spans="1:4" ht="12.75">
      <c r="A48">
        <v>-180</v>
      </c>
      <c r="B48">
        <f>1/2*B$46*(1-COS(B$45*$A48*PI()/180))</f>
        <v>-0.38</v>
      </c>
      <c r="C48">
        <f>4*B48+I8</f>
        <v>-0.5489999999999999</v>
      </c>
      <c r="D48">
        <f>1/2*B$46*(1-COS(B$45*($A48+120)*PI()/180))</f>
        <v>-0.38</v>
      </c>
    </row>
    <row r="49" spans="1:4" ht="12.75">
      <c r="A49">
        <v>-170</v>
      </c>
      <c r="B49">
        <f>1/2*B$46*(1-COS(B$45*$A49*PI()/180))</f>
        <v>-0.35454482671904336</v>
      </c>
      <c r="C49">
        <f aca="true" t="shared" si="3" ref="C49:C84">4*B49+I9</f>
        <v>-0.7822267182879867</v>
      </c>
      <c r="D49">
        <f aca="true" t="shared" si="4" ref="D49:D84">1/2*B$46*(1-COS(B$45*($A49+120)*PI()/180))</f>
        <v>-0.35454482671904336</v>
      </c>
    </row>
    <row r="50" spans="1:4" ht="12.75">
      <c r="A50">
        <v>-160</v>
      </c>
      <c r="B50">
        <f aca="true" t="shared" si="5" ref="B50:B84">1/2*B$46*(1-COS(B$45*$A50*PI()/180))</f>
        <v>-0.2849999999999998</v>
      </c>
      <c r="C50">
        <f t="shared" si="3"/>
        <v>-1.1882348200382633</v>
      </c>
      <c r="D50">
        <f t="shared" si="4"/>
        <v>-0.285</v>
      </c>
    </row>
    <row r="51" spans="1:4" ht="12.75">
      <c r="A51">
        <v>-150</v>
      </c>
      <c r="B51">
        <f t="shared" si="5"/>
        <v>-0.18999999999999995</v>
      </c>
      <c r="C51">
        <f t="shared" si="3"/>
        <v>-1.2656197064377537</v>
      </c>
      <c r="D51">
        <f t="shared" si="4"/>
        <v>-0.18999999999999997</v>
      </c>
    </row>
    <row r="52" spans="1:4" ht="12.75">
      <c r="A52">
        <v>-140</v>
      </c>
      <c r="B52">
        <f t="shared" si="5"/>
        <v>-0.09500000000000004</v>
      </c>
      <c r="C52">
        <f t="shared" si="3"/>
        <v>-0.9443889784703006</v>
      </c>
      <c r="D52">
        <f t="shared" si="4"/>
        <v>-0.09499999999999997</v>
      </c>
    </row>
    <row r="53" spans="1:4" ht="12.75">
      <c r="A53">
        <v>-130</v>
      </c>
      <c r="B53">
        <f t="shared" si="5"/>
        <v>-0.025455173280956582</v>
      </c>
      <c r="C53">
        <f t="shared" si="3"/>
        <v>-0.6458943042455678</v>
      </c>
      <c r="D53">
        <f t="shared" si="4"/>
        <v>-0.025455173280956644</v>
      </c>
    </row>
    <row r="54" spans="1:4" ht="12.75">
      <c r="A54">
        <v>-120</v>
      </c>
      <c r="B54">
        <f t="shared" si="5"/>
        <v>0</v>
      </c>
      <c r="C54">
        <f t="shared" si="3"/>
        <v>-0.6944999999999993</v>
      </c>
      <c r="D54">
        <f t="shared" si="4"/>
        <v>0</v>
      </c>
    </row>
    <row r="55" spans="1:4" ht="12.75">
      <c r="A55">
        <v>-110</v>
      </c>
      <c r="B55">
        <f t="shared" si="5"/>
        <v>-0.02545517328095671</v>
      </c>
      <c r="C55">
        <f t="shared" si="3"/>
        <v>-0.8729073860437235</v>
      </c>
      <c r="D55">
        <f t="shared" si="4"/>
        <v>-0.025455173280956644</v>
      </c>
    </row>
    <row r="56" spans="1:4" ht="12.75">
      <c r="A56">
        <v>-100</v>
      </c>
      <c r="B56">
        <f t="shared" si="5"/>
        <v>-0.09499999999999997</v>
      </c>
      <c r="C56">
        <f t="shared" si="3"/>
        <v>-0.7237427464897753</v>
      </c>
      <c r="D56">
        <f t="shared" si="4"/>
        <v>-0.09499999999999997</v>
      </c>
    </row>
    <row r="57" spans="1:4" ht="12.75">
      <c r="A57">
        <v>-90</v>
      </c>
      <c r="B57">
        <f t="shared" si="5"/>
        <v>-0.19000000000000006</v>
      </c>
      <c r="C57">
        <f t="shared" si="3"/>
        <v>-0.2044999999999999</v>
      </c>
      <c r="D57">
        <f t="shared" si="4"/>
        <v>-0.18999999999999997</v>
      </c>
    </row>
    <row r="58" spans="1:4" ht="12.75">
      <c r="A58">
        <v>-80</v>
      </c>
      <c r="B58">
        <f t="shared" si="5"/>
        <v>-0.2850000000000001</v>
      </c>
      <c r="C58">
        <f t="shared" si="3"/>
        <v>0.18418522922903757</v>
      </c>
      <c r="D58">
        <f t="shared" si="4"/>
        <v>-0.285</v>
      </c>
    </row>
    <row r="59" spans="1:4" ht="12.75">
      <c r="A59">
        <v>-70</v>
      </c>
      <c r="B59">
        <f t="shared" si="5"/>
        <v>-0.35454482671904336</v>
      </c>
      <c r="C59">
        <f t="shared" si="3"/>
        <v>0.001300513002194359</v>
      </c>
      <c r="D59">
        <f t="shared" si="4"/>
        <v>-0.35454482671904336</v>
      </c>
    </row>
    <row r="60" spans="1:4" ht="12.75">
      <c r="A60">
        <v>-60</v>
      </c>
      <c r="B60">
        <f t="shared" si="5"/>
        <v>-0.38</v>
      </c>
      <c r="C60">
        <f t="shared" si="3"/>
        <v>-0.5594999999999999</v>
      </c>
      <c r="D60">
        <f t="shared" si="4"/>
        <v>-0.38</v>
      </c>
    </row>
    <row r="61" spans="1:4" ht="12.75">
      <c r="A61">
        <v>-50</v>
      </c>
      <c r="B61">
        <f t="shared" si="5"/>
        <v>-0.35454482671904336</v>
      </c>
      <c r="C61">
        <f t="shared" si="3"/>
        <v>-0.8683843385421377</v>
      </c>
      <c r="D61">
        <f t="shared" si="4"/>
        <v>-0.35454482671904336</v>
      </c>
    </row>
    <row r="62" spans="1:4" ht="12.75">
      <c r="A62">
        <v>-40</v>
      </c>
      <c r="B62">
        <f t="shared" si="5"/>
        <v>-0.285</v>
      </c>
      <c r="C62">
        <f t="shared" si="3"/>
        <v>-0.5942004091907742</v>
      </c>
      <c r="D62">
        <f t="shared" si="4"/>
        <v>-0.2850000000000001</v>
      </c>
    </row>
    <row r="63" spans="1:4" ht="12.75">
      <c r="A63">
        <v>-30</v>
      </c>
      <c r="B63">
        <f t="shared" si="5"/>
        <v>-0.18999999999999997</v>
      </c>
      <c r="C63">
        <f t="shared" si="3"/>
        <v>-0.058380293562246166</v>
      </c>
      <c r="D63">
        <f t="shared" si="4"/>
        <v>-0.19000000000000006</v>
      </c>
    </row>
    <row r="64" spans="1:4" ht="12.75">
      <c r="A64">
        <v>-20</v>
      </c>
      <c r="B64">
        <f t="shared" si="5"/>
        <v>-0.09499999999999997</v>
      </c>
      <c r="C64">
        <f t="shared" si="3"/>
        <v>0.2093817249600769</v>
      </c>
      <c r="D64">
        <f t="shared" si="4"/>
        <v>-0.09499999999999997</v>
      </c>
    </row>
    <row r="65" spans="1:4" ht="12.75">
      <c r="A65">
        <v>-10</v>
      </c>
      <c r="B65">
        <f t="shared" si="5"/>
        <v>-0.025455173280956644</v>
      </c>
      <c r="C65">
        <f t="shared" si="3"/>
        <v>0.11111223411722065</v>
      </c>
      <c r="D65">
        <f t="shared" si="4"/>
        <v>-0.02545517328095671</v>
      </c>
    </row>
    <row r="66" spans="1:4" ht="12.75">
      <c r="A66">
        <v>0</v>
      </c>
      <c r="B66">
        <f t="shared" si="5"/>
        <v>0</v>
      </c>
      <c r="C66">
        <f t="shared" si="3"/>
        <v>0</v>
      </c>
      <c r="D66">
        <f t="shared" si="4"/>
        <v>0</v>
      </c>
    </row>
    <row r="67" spans="1:4" ht="12.75">
      <c r="A67">
        <v>10</v>
      </c>
      <c r="B67">
        <f t="shared" si="5"/>
        <v>-0.025455173280956644</v>
      </c>
      <c r="C67">
        <f t="shared" si="3"/>
        <v>0.11111223411722065</v>
      </c>
      <c r="D67">
        <f t="shared" si="4"/>
        <v>-0.025455173280956582</v>
      </c>
    </row>
    <row r="68" spans="1:4" ht="12.75">
      <c r="A68">
        <v>20</v>
      </c>
      <c r="B68">
        <f t="shared" si="5"/>
        <v>-0.09499999999999997</v>
      </c>
      <c r="C68">
        <f t="shared" si="3"/>
        <v>0.2093817249600769</v>
      </c>
      <c r="D68">
        <f t="shared" si="4"/>
        <v>-0.09500000000000004</v>
      </c>
    </row>
    <row r="69" spans="1:4" ht="12.75">
      <c r="A69">
        <v>30</v>
      </c>
      <c r="B69">
        <f t="shared" si="5"/>
        <v>-0.18999999999999997</v>
      </c>
      <c r="C69">
        <f t="shared" si="3"/>
        <v>-0.058380293562246166</v>
      </c>
      <c r="D69">
        <f t="shared" si="4"/>
        <v>-0.18999999999999995</v>
      </c>
    </row>
    <row r="70" spans="1:4" ht="12.75">
      <c r="A70">
        <v>40</v>
      </c>
      <c r="B70">
        <f t="shared" si="5"/>
        <v>-0.285</v>
      </c>
      <c r="C70">
        <f t="shared" si="3"/>
        <v>-0.5942004091907742</v>
      </c>
      <c r="D70">
        <f t="shared" si="4"/>
        <v>-0.2849999999999998</v>
      </c>
    </row>
    <row r="71" spans="1:4" ht="12.75">
      <c r="A71">
        <v>50</v>
      </c>
      <c r="B71">
        <f t="shared" si="5"/>
        <v>-0.35454482671904336</v>
      </c>
      <c r="C71">
        <f t="shared" si="3"/>
        <v>-0.8683843385421377</v>
      </c>
      <c r="D71">
        <f t="shared" si="4"/>
        <v>-0.35454482671904336</v>
      </c>
    </row>
    <row r="72" spans="1:4" ht="12.75">
      <c r="A72">
        <v>60</v>
      </c>
      <c r="B72">
        <f t="shared" si="5"/>
        <v>-0.38</v>
      </c>
      <c r="C72">
        <f t="shared" si="3"/>
        <v>-0.5594999999999999</v>
      </c>
      <c r="D72">
        <f t="shared" si="4"/>
        <v>-0.38</v>
      </c>
    </row>
    <row r="73" spans="1:4" ht="12.75">
      <c r="A73">
        <v>70</v>
      </c>
      <c r="B73">
        <f t="shared" si="5"/>
        <v>-0.35454482671904336</v>
      </c>
      <c r="C73">
        <f t="shared" si="3"/>
        <v>0.001300513002194359</v>
      </c>
      <c r="D73">
        <f t="shared" si="4"/>
        <v>-0.3545448267190433</v>
      </c>
    </row>
    <row r="74" spans="1:4" ht="12.75">
      <c r="A74">
        <v>80</v>
      </c>
      <c r="B74">
        <f t="shared" si="5"/>
        <v>-0.2850000000000001</v>
      </c>
      <c r="C74">
        <f t="shared" si="3"/>
        <v>0.18418522922903757</v>
      </c>
      <c r="D74">
        <f t="shared" si="4"/>
        <v>-0.285</v>
      </c>
    </row>
    <row r="75" spans="1:4" ht="12.75">
      <c r="A75">
        <v>90</v>
      </c>
      <c r="B75">
        <f t="shared" si="5"/>
        <v>-0.19000000000000006</v>
      </c>
      <c r="C75">
        <f t="shared" si="3"/>
        <v>-0.2044999999999999</v>
      </c>
      <c r="D75">
        <f t="shared" si="4"/>
        <v>-0.19000000000000009</v>
      </c>
    </row>
    <row r="76" spans="1:4" ht="12.75">
      <c r="A76">
        <v>100</v>
      </c>
      <c r="B76">
        <f t="shared" si="5"/>
        <v>-0.09499999999999997</v>
      </c>
      <c r="C76">
        <f t="shared" si="3"/>
        <v>-0.7237427464897753</v>
      </c>
      <c r="D76">
        <f t="shared" si="4"/>
        <v>-0.09500000000000017</v>
      </c>
    </row>
    <row r="77" spans="1:4" ht="12.75">
      <c r="A77">
        <v>110</v>
      </c>
      <c r="B77">
        <f t="shared" si="5"/>
        <v>-0.02545517328095671</v>
      </c>
      <c r="C77">
        <f t="shared" si="3"/>
        <v>-0.8729073860437235</v>
      </c>
      <c r="D77">
        <f t="shared" si="4"/>
        <v>-0.025455173280956644</v>
      </c>
    </row>
    <row r="78" spans="1:4" ht="12.75">
      <c r="A78">
        <v>120</v>
      </c>
      <c r="B78">
        <f t="shared" si="5"/>
        <v>0</v>
      </c>
      <c r="C78">
        <f t="shared" si="3"/>
        <v>-0.6944999999999993</v>
      </c>
      <c r="D78">
        <f t="shared" si="4"/>
        <v>0</v>
      </c>
    </row>
    <row r="79" spans="1:4" ht="12.75">
      <c r="A79">
        <v>130</v>
      </c>
      <c r="B79">
        <f t="shared" si="5"/>
        <v>-0.025455173280956582</v>
      </c>
      <c r="C79">
        <f t="shared" si="3"/>
        <v>-0.6458943042455678</v>
      </c>
      <c r="D79">
        <f t="shared" si="4"/>
        <v>-0.02545517328095656</v>
      </c>
    </row>
    <row r="80" spans="1:4" ht="12.75">
      <c r="A80">
        <v>140</v>
      </c>
      <c r="B80">
        <f t="shared" si="5"/>
        <v>-0.09500000000000004</v>
      </c>
      <c r="C80">
        <f t="shared" si="3"/>
        <v>-0.9443889784703006</v>
      </c>
      <c r="D80">
        <f t="shared" si="4"/>
        <v>-0.09499999999999972</v>
      </c>
    </row>
    <row r="81" spans="1:16" ht="12.75">
      <c r="A81">
        <v>150</v>
      </c>
      <c r="B81">
        <f t="shared" si="5"/>
        <v>-0.18999999999999995</v>
      </c>
      <c r="C81">
        <f t="shared" si="3"/>
        <v>-1.2656197064377537</v>
      </c>
      <c r="D81">
        <f t="shared" si="4"/>
        <v>-0.18999999999999956</v>
      </c>
      <c r="J81" t="s">
        <v>263</v>
      </c>
      <c r="P81" t="s">
        <v>265</v>
      </c>
    </row>
    <row r="82" spans="1:16" ht="12.75">
      <c r="A82">
        <v>160</v>
      </c>
      <c r="B82">
        <f t="shared" si="5"/>
        <v>-0.2849999999999998</v>
      </c>
      <c r="C82">
        <f t="shared" si="3"/>
        <v>-1.1882348200382633</v>
      </c>
      <c r="D82">
        <f t="shared" si="4"/>
        <v>-0.2850000000000001</v>
      </c>
      <c r="J82" t="s">
        <v>262</v>
      </c>
      <c r="K82" t="s">
        <v>260</v>
      </c>
      <c r="L82" t="s">
        <v>261</v>
      </c>
      <c r="M82" t="s">
        <v>8</v>
      </c>
      <c r="P82" t="s">
        <v>266</v>
      </c>
    </row>
    <row r="83" spans="1:13" ht="12.75">
      <c r="A83">
        <v>170</v>
      </c>
      <c r="B83">
        <f t="shared" si="5"/>
        <v>-0.35454482671904336</v>
      </c>
      <c r="C83">
        <f t="shared" si="3"/>
        <v>-0.7822267182879867</v>
      </c>
      <c r="D83">
        <f t="shared" si="4"/>
        <v>-0.35454482671904336</v>
      </c>
      <c r="J83">
        <f>((K83-C88)/C88)^2+((L83-D88)/D88)^2+((M83-E88)/E88)^2</f>
        <v>5.870605922110052E-06</v>
      </c>
      <c r="K83">
        <f>K88*(6/(M88-6))*EXP(M88)</f>
        <v>14981.880445346067</v>
      </c>
      <c r="L83">
        <f>M88/L88</f>
        <v>3.0827139093180063</v>
      </c>
      <c r="M83">
        <f>K88*(M88/(M88-6))*L88^6</f>
        <v>640.546532187766</v>
      </c>
    </row>
    <row r="84" spans="1:18" ht="12.75">
      <c r="A84">
        <v>180</v>
      </c>
      <c r="B84">
        <f t="shared" si="5"/>
        <v>-0.38</v>
      </c>
      <c r="C84">
        <f t="shared" si="3"/>
        <v>-0.5489999999999999</v>
      </c>
      <c r="D84">
        <f t="shared" si="4"/>
        <v>-0.38</v>
      </c>
      <c r="J84">
        <f>((K84-C89)/C89)^2+((L84-D89)/D89)^2+((M84-E89)/E89)^2</f>
        <v>6.136184103812117E-09</v>
      </c>
      <c r="K84">
        <f>K89*(6/(M89-6))*EXP(M89)</f>
        <v>63634.26606795471</v>
      </c>
      <c r="L84">
        <f>M89/L89</f>
        <v>4.261326733956762</v>
      </c>
      <c r="M84">
        <f>K89*(M89/(M89-6))*L89^6</f>
        <v>124.30138036663571</v>
      </c>
      <c r="P84" t="s">
        <v>267</v>
      </c>
      <c r="R84" t="s">
        <v>268</v>
      </c>
    </row>
    <row r="85" spans="10:18" ht="12.75">
      <c r="J85">
        <f>((K85-C90)/C90)^2+((L85-D90)/D90)^2+((M85-E90)/E90)^2</f>
        <v>0.00011783524831180482</v>
      </c>
      <c r="K85">
        <f>K90*(6/(M90-6))*EXP(M90)</f>
        <v>6935.239785982738</v>
      </c>
      <c r="L85">
        <f>M90/L90</f>
        <v>3.0513976357458272</v>
      </c>
      <c r="M85">
        <f>K90*(M90/(M90-6))*L90^6</f>
        <v>315.2479986345359</v>
      </c>
      <c r="R85" t="s">
        <v>278</v>
      </c>
    </row>
    <row r="86" spans="1:18" ht="12.75">
      <c r="A86" t="s">
        <v>197</v>
      </c>
      <c r="F86" t="s">
        <v>250</v>
      </c>
      <c r="I86" t="s">
        <v>251</v>
      </c>
      <c r="R86" t="s">
        <v>282</v>
      </c>
    </row>
    <row r="87" spans="1:24" ht="12.75">
      <c r="A87" t="s">
        <v>232</v>
      </c>
      <c r="B87" t="s">
        <v>233</v>
      </c>
      <c r="C87" t="s">
        <v>234</v>
      </c>
      <c r="D87" t="s">
        <v>235</v>
      </c>
      <c r="E87" t="s">
        <v>236</v>
      </c>
      <c r="F87" t="s">
        <v>297</v>
      </c>
      <c r="G87" t="s">
        <v>252</v>
      </c>
      <c r="H87" t="s">
        <v>253</v>
      </c>
      <c r="I87" t="s">
        <v>255</v>
      </c>
      <c r="J87" t="s">
        <v>256</v>
      </c>
      <c r="K87" t="s">
        <v>257</v>
      </c>
      <c r="L87" t="s">
        <v>258</v>
      </c>
      <c r="M87" t="s">
        <v>259</v>
      </c>
      <c r="N87" t="s">
        <v>274</v>
      </c>
      <c r="O87" t="s">
        <v>270</v>
      </c>
      <c r="P87" t="s">
        <v>272</v>
      </c>
      <c r="Q87" t="s">
        <v>269</v>
      </c>
      <c r="R87" t="s">
        <v>271</v>
      </c>
      <c r="S87" t="s">
        <v>273</v>
      </c>
      <c r="T87" t="s">
        <v>275</v>
      </c>
      <c r="U87" t="s">
        <v>276</v>
      </c>
      <c r="W87" t="s">
        <v>281</v>
      </c>
      <c r="X87" t="s">
        <v>280</v>
      </c>
    </row>
    <row r="88" spans="1:24" ht="12.75">
      <c r="A88" t="s">
        <v>8</v>
      </c>
      <c r="B88" t="s">
        <v>8</v>
      </c>
      <c r="C88">
        <v>14976</v>
      </c>
      <c r="D88">
        <v>3.09</v>
      </c>
      <c r="E88">
        <v>640.8</v>
      </c>
      <c r="F88">
        <f>1/D88</f>
        <v>0.3236245954692557</v>
      </c>
      <c r="G88" t="s">
        <v>254</v>
      </c>
      <c r="K88">
        <v>0.09205185490838165</v>
      </c>
      <c r="L88">
        <v>3.892673907795349</v>
      </c>
      <c r="M88">
        <v>12</v>
      </c>
      <c r="N88">
        <f>1/2*(Q93/(Q93-6))*(O88)^(-6)</f>
        <v>1.1117824572665502</v>
      </c>
      <c r="O88">
        <f>P88/((-1/6)*2^(-1/6)*Q93)</f>
        <v>0.9830025256129152</v>
      </c>
      <c r="P88">
        <v>-1.746101611301545</v>
      </c>
      <c r="Q88">
        <f>(-1/6)*(6)^(-1/6)*Q93^(7/6)*EXP(-1/6*Q93)</f>
        <v>-0.30459872992271797</v>
      </c>
      <c r="R88">
        <f>P88*EXP(P88)</f>
        <v>-0.3046121475578133</v>
      </c>
      <c r="S88">
        <f>(Q88-R88)^2</f>
        <v>1.8003293155130333E-10</v>
      </c>
      <c r="T88">
        <f aca="true" t="shared" si="6" ref="T88:U90">N88*O93</f>
        <v>0.10550393979856638</v>
      </c>
      <c r="U88">
        <f t="shared" si="6"/>
        <v>3.8054298650168423</v>
      </c>
      <c r="V88" t="s">
        <v>66</v>
      </c>
      <c r="W88">
        <f>X88*O93</f>
        <v>0.07876535457056658</v>
      </c>
      <c r="X88">
        <f>1/4*2^(-1/6)*(Q93/(Q93-6))*O88*(EXP(Q93)*EXP(-Q93*2^(-1/6)*O88)-2*2^(1/6)*O88^(-7))</f>
        <v>0.8300158232870611</v>
      </c>
    </row>
    <row r="89" spans="1:24" ht="12.75">
      <c r="A89" t="s">
        <v>9</v>
      </c>
      <c r="B89" t="s">
        <v>9</v>
      </c>
      <c r="C89">
        <v>63635</v>
      </c>
      <c r="D89">
        <v>4.261</v>
      </c>
      <c r="E89">
        <v>124.3</v>
      </c>
      <c r="F89">
        <f>1/D89</f>
        <v>0.2346866932644919</v>
      </c>
      <c r="K89">
        <v>0.04802141587035434</v>
      </c>
      <c r="L89">
        <v>3.388147053775079</v>
      </c>
      <c r="M89">
        <v>14.438001618828585</v>
      </c>
      <c r="N89">
        <f>1/2*(Q94/(Q94-6))*(O89)^(-6)</f>
        <v>0.8525763029418332</v>
      </c>
      <c r="O89">
        <f>P89/((-1/6)*2^(-1/6)*Q94)</f>
        <v>1.0005774357586352</v>
      </c>
      <c r="P89">
        <v>-2.145037428957365</v>
      </c>
      <c r="Q89">
        <f>(-1/6)*(6)^(-1/6)*Q94^(7/6)*EXP(-1/6*Q94)</f>
        <v>-0.2511063736837558</v>
      </c>
      <c r="R89">
        <f>P89*EXP(P89)</f>
        <v>-0.25110592238546264</v>
      </c>
      <c r="S89">
        <f>(Q89-R89)^2</f>
        <v>2.0367014942750414E-13</v>
      </c>
      <c r="T89">
        <f t="shared" si="6"/>
        <v>0.04094192120477898</v>
      </c>
      <c r="U89">
        <f t="shared" si="6"/>
        <v>3.390103491039443</v>
      </c>
      <c r="V89" t="s">
        <v>279</v>
      </c>
      <c r="W89">
        <f>X89*O94</f>
        <v>0.04687908517464944</v>
      </c>
      <c r="X89">
        <f>1/4*2^(-1/6)*(Q94/(Q94-6))*O89*(EXP(Q94)*EXP(-Q94*2^(-1/6)*O89)-2*2^(1/6)*O89^(-7))</f>
        <v>0.9762120571623939</v>
      </c>
    </row>
    <row r="90" spans="1:24" ht="12.75">
      <c r="A90" t="s">
        <v>8</v>
      </c>
      <c r="B90" t="s">
        <v>9</v>
      </c>
      <c r="C90">
        <v>6923.2</v>
      </c>
      <c r="D90">
        <v>3.084</v>
      </c>
      <c r="E90">
        <v>315.8</v>
      </c>
      <c r="F90">
        <f>1/D90</f>
        <v>0.324254215304799</v>
      </c>
      <c r="K90">
        <v>0.04261158596632843</v>
      </c>
      <c r="L90">
        <v>3.9326241389929315</v>
      </c>
      <c r="M90">
        <v>12</v>
      </c>
      <c r="N90">
        <f>1/2*(Q95/(Q95-6))*(O90)^(-6)</f>
        <v>1.132163478318254</v>
      </c>
      <c r="O90">
        <f>P90/((-1/6)*2^(-1/6)*Q95)</f>
        <v>0.9818038134128582</v>
      </c>
      <c r="P90">
        <v>-1.725476076024761</v>
      </c>
      <c r="Q90">
        <f>(-1/6)*(6)^(-1/6)*Q95^(7/6)*EXP(-1/6*Q95)</f>
        <v>-0.307262325246284</v>
      </c>
      <c r="R90">
        <f>P90*EXP(P90)</f>
        <v>-0.30728701141902165</v>
      </c>
      <c r="S90">
        <f>(Q90-R90)^2</f>
        <v>6.094071244332669E-10</v>
      </c>
      <c r="T90">
        <f t="shared" si="6"/>
        <v>0.05518810975996547</v>
      </c>
      <c r="U90">
        <f t="shared" si="6"/>
        <v>3.767801179845038</v>
      </c>
      <c r="V90" t="s">
        <v>68</v>
      </c>
      <c r="W90">
        <f>X90*O95</f>
        <v>0.04008356649402417</v>
      </c>
      <c r="X90">
        <f>1/4*2^(-1/6)*(Q95/(Q95-6))*O90*(EXP(Q95)*EXP(-Q95*2^(-1/6)*O90)-2*2^(1/6)*O90^(-7))</f>
        <v>0.8222994094680117</v>
      </c>
    </row>
    <row r="91" spans="1:14" ht="12.75">
      <c r="A91" t="s">
        <v>214</v>
      </c>
      <c r="B91" t="s">
        <v>214</v>
      </c>
      <c r="N91" t="s">
        <v>264</v>
      </c>
    </row>
    <row r="92" spans="2:20" ht="12.75">
      <c r="B92" t="s">
        <v>197</v>
      </c>
      <c r="C92" t="s">
        <v>197</v>
      </c>
      <c r="D92" t="s">
        <v>197</v>
      </c>
      <c r="E92" t="s">
        <v>277</v>
      </c>
      <c r="F92" t="s">
        <v>277</v>
      </c>
      <c r="G92" t="s">
        <v>277</v>
      </c>
      <c r="H92" t="s">
        <v>283</v>
      </c>
      <c r="I92" t="s">
        <v>283</v>
      </c>
      <c r="J92" t="s">
        <v>283</v>
      </c>
      <c r="O92" t="s">
        <v>257</v>
      </c>
      <c r="P92" t="s">
        <v>258</v>
      </c>
      <c r="Q92" t="s">
        <v>259</v>
      </c>
      <c r="R92" t="s">
        <v>260</v>
      </c>
      <c r="S92" t="s">
        <v>261</v>
      </c>
      <c r="T92" t="s">
        <v>8</v>
      </c>
    </row>
    <row r="93" spans="1:20" ht="12.75">
      <c r="A93" t="s">
        <v>237</v>
      </c>
      <c r="B93" t="s">
        <v>239</v>
      </c>
      <c r="C93" t="s">
        <v>238</v>
      </c>
      <c r="D93" t="s">
        <v>240</v>
      </c>
      <c r="E93" t="s">
        <v>239</v>
      </c>
      <c r="F93" t="s">
        <v>238</v>
      </c>
      <c r="G93" t="s">
        <v>240</v>
      </c>
      <c r="H93" t="s">
        <v>239</v>
      </c>
      <c r="I93" t="s">
        <v>238</v>
      </c>
      <c r="J93" t="s">
        <v>240</v>
      </c>
      <c r="O93">
        <v>0.09489620843448134</v>
      </c>
      <c r="P93">
        <v>3.8712310150414986</v>
      </c>
      <c r="Q93">
        <v>11.96293645302153</v>
      </c>
      <c r="R93">
        <v>14975.358185704823</v>
      </c>
      <c r="S93">
        <v>3.0902150779790887</v>
      </c>
      <c r="T93">
        <v>640.7977918324094</v>
      </c>
    </row>
    <row r="94" spans="1:20" ht="12.75">
      <c r="A94">
        <v>2</v>
      </c>
      <c r="B94">
        <f>$C$88*EXP(-$D$88*$A94)-$E$88/$A94^6</f>
        <v>20.994227551092543</v>
      </c>
      <c r="C94">
        <f>$C$89*EXP(-$D$89*$A94)-$E$89/$A94^6</f>
        <v>10.72378304312221</v>
      </c>
      <c r="D94">
        <f>$C$90*EXP(-$D$90*$A94)-$E$90/$A94^6</f>
        <v>9.572655144327612</v>
      </c>
      <c r="E94">
        <f>$T$88*(($U$88/$A94)^12-2*($U$88/$A94)^6)</f>
        <v>227.53663818456246</v>
      </c>
      <c r="F94">
        <f>$T$89*(($U$89/$A94)^12-2*($U$89/$A94)^6)</f>
        <v>21.09149302554003</v>
      </c>
      <c r="G94">
        <f>$T$90*(($U$90/$A94)^12-2*($U$90/$A94)^6)</f>
        <v>105.35703678519374</v>
      </c>
      <c r="H94">
        <f>$W$88*(($U$88/$A94)^12-2*($U$88/$A94)^6)</f>
        <v>169.87047136457088</v>
      </c>
      <c r="I94">
        <f>$W$89*(($U$89/$A94)^12-2*($U$89/$A94)^6)</f>
        <v>24.150061084319685</v>
      </c>
      <c r="J94">
        <f>$W$90*(($U$90/$A94)^12-2*($U$90/$A94)^6)</f>
        <v>76.52166033517916</v>
      </c>
      <c r="O94">
        <v>0.04802141587035434</v>
      </c>
      <c r="P94">
        <v>3.388147053775079</v>
      </c>
      <c r="Q94">
        <v>14.438001618828585</v>
      </c>
      <c r="R94">
        <v>63634.266067954675</v>
      </c>
      <c r="S94">
        <v>4.261326733956762</v>
      </c>
      <c r="T94">
        <v>124.30138036663571</v>
      </c>
    </row>
    <row r="95" spans="1:20" ht="12.75">
      <c r="A95">
        <v>2.2</v>
      </c>
      <c r="B95">
        <f aca="true" t="shared" si="7" ref="B95:B114">$C$88*EXP(-$D$88*$A95)-$E$88/$A95^6</f>
        <v>11.061494564732792</v>
      </c>
      <c r="C95">
        <f aca="true" t="shared" si="8" ref="C95:C114">$C$89*EXP(-$D$89*$A95)-$E$89/$A95^6</f>
        <v>4.305413843234021</v>
      </c>
      <c r="D95">
        <f aca="true" t="shared" si="9" ref="D95:D114">$C$90*EXP(-$D$90*$A95)-$E$90/$A95^6</f>
        <v>5.043662846313341</v>
      </c>
      <c r="E95">
        <f aca="true" t="shared" si="10" ref="E95:E114">$T$88*(($U$88/$A95)^12-2*($U$88/$A95)^6)</f>
        <v>70.03868940370528</v>
      </c>
      <c r="F95">
        <f aca="true" t="shared" si="11" ref="F95:F114">$T$89*(($U$89/$A95)^12-2*($U$89/$A95)^6)</f>
        <v>6.242920947305155</v>
      </c>
      <c r="G95">
        <f aca="true" t="shared" si="12" ref="G95:G114">$T$90*(($U$90/$A95)^12-2*($U$90/$A95)^6)</f>
        <v>32.35694109856341</v>
      </c>
      <c r="H95">
        <f aca="true" t="shared" si="13" ref="H95:H114">$W$88*(($U$88/$A95)^12-2*($U$88/$A95)^6)</f>
        <v>52.28830520522032</v>
      </c>
      <c r="I95">
        <f aca="true" t="shared" si="14" ref="I95:I114">$W$89*(($U$89/$A95)^12-2*($U$89/$A95)^6)</f>
        <v>7.148233747105163</v>
      </c>
      <c r="J95">
        <f aca="true" t="shared" si="15" ref="J95:J114">$W$90*(($U$90/$A95)^12-2*($U$90/$A95)^6)</f>
        <v>23.50110568578208</v>
      </c>
      <c r="O95">
        <v>0.04874570750325154</v>
      </c>
      <c r="P95">
        <v>3.837631437535108</v>
      </c>
      <c r="Q95">
        <v>11.83605961279234</v>
      </c>
      <c r="R95">
        <v>6923.142749836556</v>
      </c>
      <c r="S95">
        <v>3.0842095718276124</v>
      </c>
      <c r="T95">
        <v>315.79364183080776</v>
      </c>
    </row>
    <row r="96" spans="1:10" ht="12.75">
      <c r="A96">
        <v>2.4</v>
      </c>
      <c r="B96">
        <f t="shared" si="7"/>
        <v>5.655654920789769</v>
      </c>
      <c r="C96">
        <f t="shared" si="8"/>
        <v>1.6532708334807773</v>
      </c>
      <c r="D96">
        <f t="shared" si="9"/>
        <v>2.572547405832999</v>
      </c>
      <c r="E96">
        <f t="shared" si="10"/>
        <v>23.289558379395363</v>
      </c>
      <c r="F96">
        <f t="shared" si="11"/>
        <v>1.932941086902407</v>
      </c>
      <c r="G96">
        <f t="shared" si="12"/>
        <v>10.717425722164583</v>
      </c>
      <c r="H96">
        <f t="shared" si="13"/>
        <v>17.387126272699742</v>
      </c>
      <c r="I96">
        <f t="shared" si="14"/>
        <v>2.2132451820531656</v>
      </c>
      <c r="J96">
        <f t="shared" si="15"/>
        <v>7.7841522104600855</v>
      </c>
    </row>
    <row r="97" spans="1:28" ht="12.75">
      <c r="A97">
        <v>2.6</v>
      </c>
      <c r="B97">
        <f t="shared" si="7"/>
        <v>2.781595475244761</v>
      </c>
      <c r="C97">
        <f t="shared" si="8"/>
        <v>0.5800992583010552</v>
      </c>
      <c r="D97">
        <f t="shared" si="9"/>
        <v>1.2578469599390836</v>
      </c>
      <c r="E97">
        <f t="shared" si="10"/>
        <v>8.121733786799894</v>
      </c>
      <c r="F97">
        <f t="shared" si="11"/>
        <v>0.5862726405004368</v>
      </c>
      <c r="G97">
        <f t="shared" si="12"/>
        <v>3.7116572392488303</v>
      </c>
      <c r="H97">
        <f t="shared" si="13"/>
        <v>6.063387231476038</v>
      </c>
      <c r="I97">
        <f t="shared" si="14"/>
        <v>0.671290556007873</v>
      </c>
      <c r="J97">
        <f t="shared" si="15"/>
        <v>2.695806404668384</v>
      </c>
      <c r="AB97" t="s">
        <v>284</v>
      </c>
    </row>
    <row r="98" spans="1:38" ht="12.75">
      <c r="A98">
        <v>2.8</v>
      </c>
      <c r="B98">
        <f t="shared" si="7"/>
        <v>1.2876963054002977</v>
      </c>
      <c r="C98">
        <f t="shared" si="8"/>
        <v>0.1610588494627891</v>
      </c>
      <c r="D98">
        <f t="shared" si="9"/>
        <v>0.5751798575487032</v>
      </c>
      <c r="E98">
        <f t="shared" si="10"/>
        <v>2.8602697798875707</v>
      </c>
      <c r="F98">
        <f t="shared" si="11"/>
        <v>0.14833636703962788</v>
      </c>
      <c r="G98">
        <f t="shared" si="12"/>
        <v>1.2900592533973207</v>
      </c>
      <c r="H98">
        <f t="shared" si="13"/>
        <v>2.1353720421290108</v>
      </c>
      <c r="I98">
        <f t="shared" si="14"/>
        <v>0.16984726120124233</v>
      </c>
      <c r="J98">
        <f t="shared" si="15"/>
        <v>0.9369803765646318</v>
      </c>
      <c r="AE98" t="s">
        <v>197</v>
      </c>
      <c r="AH98" t="s">
        <v>291</v>
      </c>
      <c r="AJ98" t="s">
        <v>292</v>
      </c>
      <c r="AL98" t="s">
        <v>293</v>
      </c>
    </row>
    <row r="99" spans="1:39" ht="12.75">
      <c r="A99">
        <v>3</v>
      </c>
      <c r="B99">
        <f t="shared" si="7"/>
        <v>0.5318543575873239</v>
      </c>
      <c r="C99">
        <f t="shared" si="8"/>
        <v>0.008186338486781936</v>
      </c>
      <c r="D99">
        <f t="shared" si="9"/>
        <v>0.2308745599638815</v>
      </c>
      <c r="E99">
        <f t="shared" si="10"/>
        <v>0.9518639669039747</v>
      </c>
      <c r="F99">
        <f t="shared" si="11"/>
        <v>0.007019288103099495</v>
      </c>
      <c r="G99">
        <f t="shared" si="12"/>
        <v>0.41686593780808473</v>
      </c>
      <c r="H99">
        <f t="shared" si="13"/>
        <v>0.7106265699582565</v>
      </c>
      <c r="I99">
        <f t="shared" si="14"/>
        <v>0.008037185241131168</v>
      </c>
      <c r="J99">
        <f t="shared" si="15"/>
        <v>0.30277307213274923</v>
      </c>
      <c r="AB99" t="s">
        <v>294</v>
      </c>
      <c r="AC99" t="s">
        <v>232</v>
      </c>
      <c r="AD99" t="s">
        <v>233</v>
      </c>
      <c r="AE99" t="s">
        <v>234</v>
      </c>
      <c r="AF99" t="s">
        <v>235</v>
      </c>
      <c r="AG99" t="s">
        <v>236</v>
      </c>
      <c r="AH99" t="s">
        <v>287</v>
      </c>
      <c r="AI99" t="s">
        <v>288</v>
      </c>
      <c r="AJ99" t="s">
        <v>285</v>
      </c>
      <c r="AK99" t="s">
        <v>286</v>
      </c>
      <c r="AL99" t="s">
        <v>289</v>
      </c>
      <c r="AM99" t="s">
        <v>290</v>
      </c>
    </row>
    <row r="100" spans="1:39" ht="12.75">
      <c r="A100">
        <v>3.2</v>
      </c>
      <c r="B100">
        <f t="shared" si="7"/>
        <v>0.16369584413473648</v>
      </c>
      <c r="C100">
        <f t="shared" si="8"/>
        <v>-0.03955480561238489</v>
      </c>
      <c r="D100">
        <f t="shared" si="9"/>
        <v>0.06426645750288584</v>
      </c>
      <c r="E100">
        <f t="shared" si="10"/>
        <v>0.247154500740367</v>
      </c>
      <c r="F100">
        <f t="shared" si="11"/>
        <v>-0.033932533089365176</v>
      </c>
      <c r="G100">
        <f t="shared" si="12"/>
        <v>0.09772770679711879</v>
      </c>
      <c r="H100">
        <f t="shared" si="13"/>
        <v>0.18451644480475496</v>
      </c>
      <c r="I100">
        <f t="shared" si="14"/>
        <v>-0.038853235560970256</v>
      </c>
      <c r="J100">
        <f t="shared" si="15"/>
        <v>0.07098041680986285</v>
      </c>
      <c r="AB100" t="s">
        <v>295</v>
      </c>
      <c r="AC100" t="s">
        <v>8</v>
      </c>
      <c r="AD100" t="s">
        <v>8</v>
      </c>
      <c r="AE100">
        <v>14976</v>
      </c>
      <c r="AF100">
        <v>3.09</v>
      </c>
      <c r="AG100">
        <v>640.8</v>
      </c>
      <c r="AH100" s="20">
        <f aca="true" t="shared" si="16" ref="AH100:AH105">4*AJ100*AK100^12</f>
        <v>973001.128681242</v>
      </c>
      <c r="AI100" s="21">
        <f aca="true" t="shared" si="17" ref="AI100:AI105">4*AJ100*AK100^6</f>
        <v>640.7977918324092</v>
      </c>
      <c r="AJ100" s="22">
        <f aca="true" t="shared" si="18" ref="AJ100:AJ105">AL100</f>
        <v>0.10550393979856638</v>
      </c>
      <c r="AK100" s="22">
        <f aca="true" t="shared" si="19" ref="AK100:AK105">AM100*2^(-1/6)</f>
        <v>3.390252588716469</v>
      </c>
      <c r="AL100" s="22">
        <v>0.10550393979856638</v>
      </c>
      <c r="AM100" s="22">
        <v>3.8054298650168423</v>
      </c>
    </row>
    <row r="101" spans="1:39" ht="12.75">
      <c r="A101">
        <v>3.4</v>
      </c>
      <c r="B101">
        <f t="shared" si="7"/>
        <v>-0.004890834591908366</v>
      </c>
      <c r="C101">
        <f t="shared" si="8"/>
        <v>-0.0479621520691297</v>
      </c>
      <c r="D101">
        <f t="shared" si="9"/>
        <v>-0.011021745327397803</v>
      </c>
      <c r="E101">
        <f t="shared" si="10"/>
        <v>-0.007084304129626169</v>
      </c>
      <c r="F101">
        <f t="shared" si="11"/>
        <v>-0.04092961404358958</v>
      </c>
      <c r="G101">
        <f t="shared" si="12"/>
        <v>-0.015121473318687418</v>
      </c>
      <c r="H101">
        <f t="shared" si="13"/>
        <v>-0.005288880469498035</v>
      </c>
      <c r="I101">
        <f t="shared" si="14"/>
        <v>-0.04686499329911751</v>
      </c>
      <c r="J101">
        <f t="shared" si="15"/>
        <v>-0.010982847281660525</v>
      </c>
      <c r="AB101" t="s">
        <v>295</v>
      </c>
      <c r="AC101" t="s">
        <v>9</v>
      </c>
      <c r="AD101" t="s">
        <v>9</v>
      </c>
      <c r="AE101">
        <v>63635</v>
      </c>
      <c r="AF101">
        <v>4.261</v>
      </c>
      <c r="AG101">
        <v>124.3</v>
      </c>
      <c r="AH101" s="20">
        <f t="shared" si="16"/>
        <v>94346.04377607674</v>
      </c>
      <c r="AI101" s="21">
        <f t="shared" si="17"/>
        <v>124.30138036663571</v>
      </c>
      <c r="AJ101" s="22">
        <f t="shared" si="18"/>
        <v>0.04094192120477898</v>
      </c>
      <c r="AK101" s="22">
        <f t="shared" si="19"/>
        <v>3.0202388545301293</v>
      </c>
      <c r="AL101" s="22">
        <v>0.04094192120477898</v>
      </c>
      <c r="AM101" s="22">
        <v>3.390103491039443</v>
      </c>
    </row>
    <row r="102" spans="1:39" ht="12.75">
      <c r="A102">
        <v>3.6</v>
      </c>
      <c r="B102">
        <f t="shared" si="7"/>
        <v>-0.07342436394547913</v>
      </c>
      <c r="C102">
        <f t="shared" si="8"/>
        <v>-0.043241700298450314</v>
      </c>
      <c r="D102">
        <f t="shared" si="9"/>
        <v>-0.04070167738179577</v>
      </c>
      <c r="E102">
        <f t="shared" si="10"/>
        <v>-0.08903381880969172</v>
      </c>
      <c r="F102">
        <f t="shared" si="11"/>
        <v>-0.03719223776296059</v>
      </c>
      <c r="G102">
        <f t="shared" si="12"/>
        <v>-0.0497344533465855</v>
      </c>
      <c r="H102">
        <f t="shared" si="13"/>
        <v>-0.06646936901793538</v>
      </c>
      <c r="I102">
        <f t="shared" si="14"/>
        <v>-0.042585644020098574</v>
      </c>
      <c r="J102">
        <f t="shared" si="15"/>
        <v>-0.03612253212571436</v>
      </c>
      <c r="AB102" t="s">
        <v>295</v>
      </c>
      <c r="AC102" t="s">
        <v>8</v>
      </c>
      <c r="AD102" t="s">
        <v>9</v>
      </c>
      <c r="AE102">
        <v>6923.2</v>
      </c>
      <c r="AF102">
        <v>3.084</v>
      </c>
      <c r="AG102">
        <v>315.8</v>
      </c>
      <c r="AH102" s="20">
        <f t="shared" si="16"/>
        <v>451753.2157493255</v>
      </c>
      <c r="AI102" s="21">
        <f t="shared" si="17"/>
        <v>315.79364183080787</v>
      </c>
      <c r="AJ102" s="22">
        <f t="shared" si="18"/>
        <v>0.05518810975996547</v>
      </c>
      <c r="AK102" s="22">
        <f t="shared" si="19"/>
        <v>3.3567292413316023</v>
      </c>
      <c r="AL102" s="22">
        <v>0.05518810975996547</v>
      </c>
      <c r="AM102" s="22">
        <v>3.767801179845038</v>
      </c>
    </row>
    <row r="103" spans="1:39" ht="12.75">
      <c r="A103">
        <v>3.8</v>
      </c>
      <c r="B103">
        <f t="shared" si="7"/>
        <v>-0.09372463400174057</v>
      </c>
      <c r="C103">
        <f t="shared" si="8"/>
        <v>-0.03537148858077332</v>
      </c>
      <c r="D103">
        <f t="shared" si="9"/>
        <v>-0.04855648949894818</v>
      </c>
      <c r="E103">
        <f t="shared" si="10"/>
        <v>-0.10549612918300091</v>
      </c>
      <c r="F103">
        <f t="shared" si="11"/>
        <v>-0.03087641709661107</v>
      </c>
      <c r="G103">
        <f t="shared" si="12"/>
        <v>-0.055051376436468236</v>
      </c>
      <c r="H103">
        <f t="shared" si="13"/>
        <v>-0.07875952345273719</v>
      </c>
      <c r="I103">
        <f t="shared" si="14"/>
        <v>-0.03535393905235392</v>
      </c>
      <c r="J103">
        <f t="shared" si="15"/>
        <v>-0.03998425598514484</v>
      </c>
      <c r="AB103" t="s">
        <v>296</v>
      </c>
      <c r="AC103" t="s">
        <v>8</v>
      </c>
      <c r="AD103" t="s">
        <v>8</v>
      </c>
      <c r="AE103">
        <v>14976</v>
      </c>
      <c r="AF103">
        <v>3.09</v>
      </c>
      <c r="AG103">
        <v>640.8</v>
      </c>
      <c r="AH103" s="20">
        <f t="shared" si="16"/>
        <v>726406.7962245035</v>
      </c>
      <c r="AI103" s="21">
        <f t="shared" si="17"/>
        <v>478.3960236753325</v>
      </c>
      <c r="AJ103" s="22">
        <f t="shared" si="18"/>
        <v>0.07876535457056658</v>
      </c>
      <c r="AK103" s="22">
        <f t="shared" si="19"/>
        <v>3.390252588716469</v>
      </c>
      <c r="AL103" s="22">
        <v>0.07876535457056658</v>
      </c>
      <c r="AM103" s="22">
        <v>3.8054298650168423</v>
      </c>
    </row>
    <row r="104" spans="1:39" ht="12.75">
      <c r="A104">
        <v>4</v>
      </c>
      <c r="B104">
        <f t="shared" si="7"/>
        <v>-0.0922481200969764</v>
      </c>
      <c r="C104">
        <f t="shared" si="8"/>
        <v>-0.027825632939653067</v>
      </c>
      <c r="D104">
        <f t="shared" si="9"/>
        <v>-0.04670124971350964</v>
      </c>
      <c r="E104">
        <f t="shared" si="10"/>
        <v>-0.0984493867554847</v>
      </c>
      <c r="F104">
        <f t="shared" si="11"/>
        <v>-0.024723554265836657</v>
      </c>
      <c r="G104">
        <f t="shared" si="12"/>
        <v>-0.05017146713672062</v>
      </c>
      <c r="H104">
        <f t="shared" si="13"/>
        <v>-0.07349868516621938</v>
      </c>
      <c r="I104">
        <f t="shared" si="14"/>
        <v>-0.028308823136344096</v>
      </c>
      <c r="J104">
        <f t="shared" si="15"/>
        <v>-0.03643993874449284</v>
      </c>
      <c r="AB104" t="s">
        <v>296</v>
      </c>
      <c r="AC104" t="s">
        <v>9</v>
      </c>
      <c r="AD104" t="s">
        <v>9</v>
      </c>
      <c r="AE104">
        <v>63635</v>
      </c>
      <c r="AF104">
        <v>4.261</v>
      </c>
      <c r="AG104">
        <v>124.3</v>
      </c>
      <c r="AH104" s="20">
        <f t="shared" si="16"/>
        <v>108027.56910082776</v>
      </c>
      <c r="AI104" s="21">
        <f t="shared" si="17"/>
        <v>142.32685780397225</v>
      </c>
      <c r="AJ104" s="22">
        <f t="shared" si="18"/>
        <v>0.04687908517464944</v>
      </c>
      <c r="AK104" s="22">
        <f t="shared" si="19"/>
        <v>3.0202388545301293</v>
      </c>
      <c r="AL104" s="22">
        <v>0.04687908517464944</v>
      </c>
      <c r="AM104" s="22">
        <v>3.390103491039443</v>
      </c>
    </row>
    <row r="105" spans="1:39" ht="12.75">
      <c r="A105">
        <v>4.2</v>
      </c>
      <c r="B105">
        <f t="shared" si="7"/>
        <v>-0.08213824019648805</v>
      </c>
      <c r="C105">
        <f t="shared" si="8"/>
        <v>-0.02156999456237642</v>
      </c>
      <c r="D105">
        <f t="shared" si="9"/>
        <v>-0.04112787487238302</v>
      </c>
      <c r="E105">
        <f t="shared" si="10"/>
        <v>-0.08444749726842027</v>
      </c>
      <c r="F105">
        <f t="shared" si="11"/>
        <v>-0.019514056798780304</v>
      </c>
      <c r="G105">
        <f t="shared" si="12"/>
        <v>-0.042538024420963216</v>
      </c>
      <c r="H105">
        <f t="shared" si="13"/>
        <v>-0.06304539032043292</v>
      </c>
      <c r="I105">
        <f t="shared" si="14"/>
        <v>-0.02234387405020427</v>
      </c>
      <c r="J105">
        <f t="shared" si="15"/>
        <v>-0.030895708112094068</v>
      </c>
      <c r="AB105" t="s">
        <v>296</v>
      </c>
      <c r="AC105" t="s">
        <v>8</v>
      </c>
      <c r="AD105" t="s">
        <v>9</v>
      </c>
      <c r="AE105">
        <v>6923.2</v>
      </c>
      <c r="AF105">
        <v>3.084</v>
      </c>
      <c r="AG105">
        <v>315.8</v>
      </c>
      <c r="AH105" s="20">
        <f t="shared" si="16"/>
        <v>328111.9817499737</v>
      </c>
      <c r="AI105" s="21">
        <f t="shared" si="17"/>
        <v>229.36345339186988</v>
      </c>
      <c r="AJ105" s="22">
        <f t="shared" si="18"/>
        <v>0.04008356649402417</v>
      </c>
      <c r="AK105" s="22">
        <f t="shared" si="19"/>
        <v>3.3567292413316023</v>
      </c>
      <c r="AL105" s="22">
        <v>0.04008356649402417</v>
      </c>
      <c r="AM105" s="22">
        <v>3.767801179845038</v>
      </c>
    </row>
    <row r="106" spans="1:10" ht="12.75">
      <c r="A106">
        <v>4.4</v>
      </c>
      <c r="B106">
        <f t="shared" si="7"/>
        <v>-0.06965718663107034</v>
      </c>
      <c r="C106">
        <f t="shared" si="8"/>
        <v>-0.016671377827757957</v>
      </c>
      <c r="D106">
        <f t="shared" si="9"/>
        <v>-0.03466743387327697</v>
      </c>
      <c r="E106">
        <f t="shared" si="10"/>
        <v>-0.06982987860666068</v>
      </c>
      <c r="F106">
        <f t="shared" si="11"/>
        <v>-0.015338291346101074</v>
      </c>
      <c r="G106">
        <f t="shared" si="12"/>
        <v>-0.034940201909547754</v>
      </c>
      <c r="H106">
        <f t="shared" si="13"/>
        <v>-0.05213241475696993</v>
      </c>
      <c r="I106">
        <f t="shared" si="14"/>
        <v>-0.017562562901018177</v>
      </c>
      <c r="J106">
        <f t="shared" si="15"/>
        <v>-0.02537734871963232</v>
      </c>
    </row>
    <row r="107" spans="1:10" ht="12.75">
      <c r="A107">
        <v>4.6</v>
      </c>
      <c r="B107">
        <f t="shared" si="7"/>
        <v>-0.05758173731857673</v>
      </c>
      <c r="C107">
        <f t="shared" si="8"/>
        <v>-0.012924154458832573</v>
      </c>
      <c r="D107">
        <f t="shared" si="9"/>
        <v>-0.02855444835150294</v>
      </c>
      <c r="E107">
        <f t="shared" si="10"/>
        <v>-0.05679564033441172</v>
      </c>
      <c r="F107">
        <f t="shared" si="11"/>
        <v>-0.01206878743305679</v>
      </c>
      <c r="G107">
        <f t="shared" si="12"/>
        <v>-0.02829884547817016</v>
      </c>
      <c r="H107">
        <f t="shared" si="13"/>
        <v>-0.04240153265881261</v>
      </c>
      <c r="I107">
        <f t="shared" si="14"/>
        <v>-0.013818934172609557</v>
      </c>
      <c r="J107">
        <f t="shared" si="15"/>
        <v>-0.020553678307917073</v>
      </c>
    </row>
    <row r="108" spans="1:10" ht="12.75">
      <c r="A108">
        <v>4.8</v>
      </c>
      <c r="B108">
        <f t="shared" si="7"/>
        <v>-0.046973957517625335</v>
      </c>
      <c r="C108">
        <f t="shared" si="8"/>
        <v>-0.010079643197467117</v>
      </c>
      <c r="D108">
        <f t="shared" si="9"/>
        <v>-0.023242052653306602</v>
      </c>
      <c r="E108">
        <f t="shared" si="10"/>
        <v>-0.04588846951413119</v>
      </c>
      <c r="F108">
        <f t="shared" si="11"/>
        <v>-0.009532445754204748</v>
      </c>
      <c r="G108">
        <f t="shared" si="12"/>
        <v>-0.022799987070978227</v>
      </c>
      <c r="H108">
        <f t="shared" si="13"/>
        <v>-0.03425864075675297</v>
      </c>
      <c r="I108">
        <f t="shared" si="14"/>
        <v>-0.010914786685240561</v>
      </c>
      <c r="J108">
        <f t="shared" si="15"/>
        <v>-0.01655981336917271</v>
      </c>
    </row>
    <row r="109" spans="1:10" ht="12.75">
      <c r="A109">
        <v>5</v>
      </c>
      <c r="B109">
        <f t="shared" si="7"/>
        <v>-0.0380901022783729</v>
      </c>
      <c r="C109">
        <f t="shared" si="8"/>
        <v>-0.007919632600625748</v>
      </c>
      <c r="D109">
        <f t="shared" si="9"/>
        <v>-0.018819691168860436</v>
      </c>
      <c r="E109">
        <f t="shared" si="10"/>
        <v>-0.03702564605419581</v>
      </c>
      <c r="F109">
        <f t="shared" si="11"/>
        <v>-0.007568846948157877</v>
      </c>
      <c r="G109">
        <f t="shared" si="12"/>
        <v>-0.018360411905462455</v>
      </c>
      <c r="H109">
        <f t="shared" si="13"/>
        <v>-0.027641983277885706</v>
      </c>
      <c r="I109">
        <f t="shared" si="14"/>
        <v>-0.008666437976417234</v>
      </c>
      <c r="J109">
        <f t="shared" si="15"/>
        <v>-0.013335314339831773</v>
      </c>
    </row>
    <row r="110" spans="1:10" ht="12.75">
      <c r="A110">
        <v>5.2</v>
      </c>
      <c r="B110">
        <f t="shared" si="7"/>
        <v>-0.030837212885189563</v>
      </c>
      <c r="C110">
        <f t="shared" si="8"/>
        <v>-0.006271941485226032</v>
      </c>
      <c r="D110">
        <f t="shared" si="9"/>
        <v>-0.015222251295977794</v>
      </c>
      <c r="E110">
        <f t="shared" si="10"/>
        <v>-0.02992235842248724</v>
      </c>
      <c r="F110">
        <f t="shared" si="11"/>
        <v>-0.006045809778867608</v>
      </c>
      <c r="G110">
        <f t="shared" si="12"/>
        <v>-0.014817140724966977</v>
      </c>
      <c r="H110">
        <f t="shared" si="13"/>
        <v>-0.02233893042510638</v>
      </c>
      <c r="I110">
        <f t="shared" si="14"/>
        <v>-0.006922538640912152</v>
      </c>
      <c r="J110">
        <f t="shared" si="15"/>
        <v>-0.010761808079380375</v>
      </c>
    </row>
    <row r="111" spans="1:10" ht="12.75">
      <c r="A111">
        <v>5.4</v>
      </c>
      <c r="B111">
        <f t="shared" si="7"/>
        <v>-0.024995304972430583</v>
      </c>
      <c r="C111">
        <f t="shared" si="8"/>
        <v>-0.005006656364459567</v>
      </c>
      <c r="D111">
        <f t="shared" si="9"/>
        <v>-0.012331218247035923</v>
      </c>
      <c r="E111">
        <f t="shared" si="10"/>
        <v>-0.024261261358233158</v>
      </c>
      <c r="F111">
        <f t="shared" si="11"/>
        <v>-0.004859719892161961</v>
      </c>
      <c r="G111">
        <f t="shared" si="12"/>
        <v>-0.012001416110427696</v>
      </c>
      <c r="H111">
        <f t="shared" si="13"/>
        <v>-0.01811256391807642</v>
      </c>
      <c r="I111">
        <f t="shared" si="14"/>
        <v>-0.0055644487617011575</v>
      </c>
      <c r="J111">
        <f t="shared" si="15"/>
        <v>-0.008716724721631097</v>
      </c>
    </row>
    <row r="112" spans="1:10" ht="12.75">
      <c r="A112">
        <v>5.6</v>
      </c>
      <c r="B112">
        <f t="shared" si="7"/>
        <v>-0.02032007865951994</v>
      </c>
      <c r="C112">
        <f t="shared" si="8"/>
        <v>-0.004027593002305492</v>
      </c>
      <c r="D112">
        <f t="shared" si="9"/>
        <v>-0.010020913512091084</v>
      </c>
      <c r="E112">
        <f t="shared" si="10"/>
        <v>-0.019754522482881964</v>
      </c>
      <c r="F112">
        <f t="shared" si="11"/>
        <v>-0.003931206771680063</v>
      </c>
      <c r="G112">
        <f t="shared" si="12"/>
        <v>-0.009764469997337471</v>
      </c>
      <c r="H112">
        <f t="shared" si="13"/>
        <v>-0.014747998707035678</v>
      </c>
      <c r="I112">
        <f t="shared" si="14"/>
        <v>-0.004501287962696699</v>
      </c>
      <c r="J112">
        <f t="shared" si="15"/>
        <v>-0.007092012828841365</v>
      </c>
    </row>
    <row r="113" spans="1:10" ht="12.75">
      <c r="A113">
        <v>5.8</v>
      </c>
      <c r="B113">
        <f t="shared" si="7"/>
        <v>-0.016586142423148525</v>
      </c>
      <c r="C113">
        <f t="shared" si="8"/>
        <v>-0.0032639736236866937</v>
      </c>
      <c r="D113">
        <f t="shared" si="9"/>
        <v>-0.008177499895816318</v>
      </c>
      <c r="E113">
        <f t="shared" si="10"/>
        <v>-0.01616127744314102</v>
      </c>
      <c r="F113">
        <f t="shared" si="11"/>
        <v>-0.0032000854675674002</v>
      </c>
      <c r="G113">
        <f t="shared" si="12"/>
        <v>-0.007983643003770129</v>
      </c>
      <c r="H113">
        <f t="shared" si="13"/>
        <v>-0.012065414339527812</v>
      </c>
      <c r="I113">
        <f t="shared" si="14"/>
        <v>-0.0036641436157797886</v>
      </c>
      <c r="J113">
        <f t="shared" si="15"/>
        <v>-0.005798583908708437</v>
      </c>
    </row>
    <row r="114" spans="1:10" ht="12.75">
      <c r="A114">
        <v>6</v>
      </c>
      <c r="B114">
        <f t="shared" si="7"/>
        <v>-0.013601652245893648</v>
      </c>
      <c r="C114">
        <f t="shared" si="8"/>
        <v>-0.002663678592560392</v>
      </c>
      <c r="D114">
        <f t="shared" si="9"/>
        <v>-0.006704992574688613</v>
      </c>
      <c r="E114">
        <f t="shared" si="10"/>
        <v>-0.013287530024798782</v>
      </c>
      <c r="F114">
        <f t="shared" si="11"/>
        <v>-0.0026208679959674563</v>
      </c>
      <c r="G114">
        <f t="shared" si="12"/>
        <v>-0.00656102114635537</v>
      </c>
      <c r="H114">
        <f t="shared" si="13"/>
        <v>-0.00991998038905981</v>
      </c>
      <c r="I114">
        <f t="shared" si="14"/>
        <v>-0.003000931329039092</v>
      </c>
      <c r="J114">
        <f t="shared" si="15"/>
        <v>-0.004765322250254195</v>
      </c>
    </row>
    <row r="116" ht="12.75">
      <c r="A116" t="s">
        <v>241</v>
      </c>
    </row>
    <row r="117" spans="1:4" ht="12.75">
      <c r="A117" t="s">
        <v>59</v>
      </c>
      <c r="B117" t="s">
        <v>59</v>
      </c>
      <c r="C117" t="s">
        <v>191</v>
      </c>
      <c r="D117" t="s">
        <v>237</v>
      </c>
    </row>
    <row r="118" spans="1:4" ht="12.75">
      <c r="A118" t="s">
        <v>9</v>
      </c>
      <c r="B118" t="s">
        <v>242</v>
      </c>
      <c r="C118">
        <v>722</v>
      </c>
      <c r="D118">
        <v>1.3391</v>
      </c>
    </row>
    <row r="119" spans="1:4" ht="12.75">
      <c r="A119" t="s">
        <v>9</v>
      </c>
      <c r="B119" t="s">
        <v>243</v>
      </c>
      <c r="C119">
        <v>722</v>
      </c>
      <c r="D119">
        <v>1.351</v>
      </c>
    </row>
    <row r="120" spans="1:4" ht="12.75">
      <c r="A120" t="s">
        <v>242</v>
      </c>
      <c r="B120" t="s">
        <v>243</v>
      </c>
      <c r="C120">
        <v>617.8</v>
      </c>
      <c r="D120">
        <v>1.5658</v>
      </c>
    </row>
    <row r="121" spans="1:4" ht="12.75">
      <c r="A121" t="s">
        <v>243</v>
      </c>
      <c r="B121" t="s">
        <v>243</v>
      </c>
      <c r="C121">
        <v>617.8</v>
      </c>
      <c r="D121">
        <v>1.5725</v>
      </c>
    </row>
    <row r="123" ht="12.75">
      <c r="A123" t="s">
        <v>244</v>
      </c>
    </row>
    <row r="124" spans="1:5" ht="12.75">
      <c r="A124" t="s">
        <v>59</v>
      </c>
      <c r="B124" t="s">
        <v>59</v>
      </c>
      <c r="C124" t="s">
        <v>59</v>
      </c>
      <c r="D124" t="s">
        <v>191</v>
      </c>
      <c r="E124" t="s">
        <v>245</v>
      </c>
    </row>
    <row r="125" spans="1:5" ht="12.75">
      <c r="A125" t="s">
        <v>9</v>
      </c>
      <c r="B125" t="s">
        <v>242</v>
      </c>
      <c r="C125" t="s">
        <v>9</v>
      </c>
      <c r="D125">
        <v>240</v>
      </c>
      <c r="E125">
        <v>108.54</v>
      </c>
    </row>
    <row r="126" spans="1:5" ht="12.75">
      <c r="A126" t="s">
        <v>9</v>
      </c>
      <c r="B126" t="s">
        <v>8</v>
      </c>
      <c r="C126" t="s">
        <v>8</v>
      </c>
      <c r="D126">
        <v>180</v>
      </c>
      <c r="E126">
        <v>109.46</v>
      </c>
    </row>
    <row r="127" spans="1:5" ht="12.75">
      <c r="A127" t="s">
        <v>8</v>
      </c>
      <c r="B127" t="s">
        <v>8</v>
      </c>
      <c r="C127" t="s">
        <v>8</v>
      </c>
      <c r="D127">
        <v>160.6</v>
      </c>
      <c r="E127">
        <v>115.55</v>
      </c>
    </row>
    <row r="128" spans="1:5" ht="12.75">
      <c r="A128" t="s">
        <v>9</v>
      </c>
      <c r="B128" t="s">
        <v>243</v>
      </c>
      <c r="C128" t="s">
        <v>9</v>
      </c>
      <c r="D128">
        <v>240</v>
      </c>
      <c r="E128">
        <v>110.13</v>
      </c>
    </row>
    <row r="130" spans="1:10" ht="12.75">
      <c r="A130" t="s">
        <v>228</v>
      </c>
      <c r="B130" t="s">
        <v>217</v>
      </c>
      <c r="C130" t="s">
        <v>218</v>
      </c>
      <c r="D130" t="s">
        <v>219</v>
      </c>
      <c r="E130" t="s">
        <v>220</v>
      </c>
      <c r="F130" t="s">
        <v>221</v>
      </c>
      <c r="G130" t="s">
        <v>222</v>
      </c>
      <c r="H130" t="s">
        <v>223</v>
      </c>
      <c r="J130">
        <v>1.427</v>
      </c>
    </row>
    <row r="131" spans="1:10" ht="12.75">
      <c r="A131" t="s">
        <v>248</v>
      </c>
      <c r="B131">
        <v>-0.925</v>
      </c>
      <c r="C131">
        <v>0.07</v>
      </c>
      <c r="D131">
        <v>-0.093</v>
      </c>
      <c r="E131">
        <v>-0.54</v>
      </c>
      <c r="F131">
        <v>-0.207</v>
      </c>
      <c r="G131">
        <v>0</v>
      </c>
      <c r="H131">
        <v>0.676</v>
      </c>
      <c r="J131">
        <f>1.427-4*0.38</f>
        <v>-0.09299999999999997</v>
      </c>
    </row>
    <row r="132" spans="1:9" ht="12.75">
      <c r="A132" t="s">
        <v>230</v>
      </c>
      <c r="I132" t="s">
        <v>107</v>
      </c>
    </row>
    <row r="133" spans="1:9" ht="12.75">
      <c r="A133">
        <v>-180</v>
      </c>
      <c r="B133">
        <f aca="true" t="shared" si="20" ref="B133:H142">1/2*B$131*(1-COS(B$4*$A133*PI()/180))</f>
        <v>-0.925</v>
      </c>
      <c r="C133">
        <f t="shared" si="20"/>
        <v>0</v>
      </c>
      <c r="D133">
        <f t="shared" si="20"/>
        <v>-0.093</v>
      </c>
      <c r="E133">
        <f t="shared" si="20"/>
        <v>0</v>
      </c>
      <c r="F133">
        <f t="shared" si="20"/>
        <v>-0.207</v>
      </c>
      <c r="G133">
        <f t="shared" si="20"/>
        <v>0</v>
      </c>
      <c r="H133">
        <f t="shared" si="20"/>
        <v>0.676</v>
      </c>
      <c r="I133">
        <f>SUM(B133:H133)</f>
        <v>-0.549</v>
      </c>
    </row>
    <row r="134" spans="1:9" ht="12.75">
      <c r="A134">
        <v>-170</v>
      </c>
      <c r="B134">
        <f t="shared" si="20"/>
        <v>-0.9179735857681462</v>
      </c>
      <c r="C134">
        <f t="shared" si="20"/>
        <v>0.0021107582724932054</v>
      </c>
      <c r="D134">
        <f t="shared" si="20"/>
        <v>-0.08677018127597641</v>
      </c>
      <c r="E134">
        <f t="shared" si="20"/>
        <v>-0.06316800035787588</v>
      </c>
      <c r="F134">
        <f t="shared" si="20"/>
        <v>-0.17002851760255672</v>
      </c>
      <c r="G134">
        <f t="shared" si="20"/>
        <v>0</v>
      </c>
      <c r="H134">
        <f t="shared" si="20"/>
        <v>0.45360280844407513</v>
      </c>
      <c r="I134">
        <f aca="true" t="shared" si="21" ref="I134:I169">SUM(B134:H134)</f>
        <v>-0.782226718287987</v>
      </c>
    </row>
    <row r="135" spans="1:9" ht="12.75">
      <c r="A135">
        <v>-160</v>
      </c>
      <c r="B135">
        <f t="shared" si="20"/>
        <v>-0.8971078371134827</v>
      </c>
      <c r="C135">
        <f t="shared" si="20"/>
        <v>0.008188444490835778</v>
      </c>
      <c r="D135">
        <f t="shared" si="20"/>
        <v>-0.06974999999999996</v>
      </c>
      <c r="E135">
        <f t="shared" si="20"/>
        <v>-0.223114992029929</v>
      </c>
      <c r="F135">
        <f t="shared" si="20"/>
        <v>-0.08552741361147266</v>
      </c>
      <c r="G135">
        <f t="shared" si="20"/>
        <v>0</v>
      </c>
      <c r="H135">
        <f t="shared" si="20"/>
        <v>0.0790769782257851</v>
      </c>
      <c r="I135">
        <f t="shared" si="21"/>
        <v>-1.1882348200382635</v>
      </c>
    </row>
    <row r="136" spans="1:9" ht="12.75">
      <c r="A136">
        <v>-150</v>
      </c>
      <c r="B136">
        <f t="shared" si="20"/>
        <v>-0.863036749250303</v>
      </c>
      <c r="C136">
        <f t="shared" si="20"/>
        <v>0.017499999999999998</v>
      </c>
      <c r="D136">
        <f t="shared" si="20"/>
        <v>-0.046499999999999986</v>
      </c>
      <c r="E136">
        <f t="shared" si="20"/>
        <v>-0.40499999999999997</v>
      </c>
      <c r="F136">
        <f t="shared" si="20"/>
        <v>-0.013866370708310547</v>
      </c>
      <c r="G136">
        <f t="shared" si="20"/>
        <v>0</v>
      </c>
      <c r="H136">
        <f t="shared" si="20"/>
        <v>0.04528341352085976</v>
      </c>
      <c r="I136">
        <f t="shared" si="21"/>
        <v>-1.265619706437754</v>
      </c>
    </row>
    <row r="137" spans="1:9" ht="12.75">
      <c r="A137">
        <v>-140</v>
      </c>
      <c r="B137">
        <f t="shared" si="20"/>
        <v>-0.8167955549425273</v>
      </c>
      <c r="C137">
        <f t="shared" si="20"/>
        <v>0.028922313781657452</v>
      </c>
      <c r="D137">
        <f t="shared" si="20"/>
        <v>-0.02325000000000001</v>
      </c>
      <c r="E137">
        <f t="shared" si="20"/>
        <v>-0.5237170076121954</v>
      </c>
      <c r="F137">
        <f t="shared" si="20"/>
        <v>-0.006241813748658546</v>
      </c>
      <c r="G137">
        <f t="shared" si="20"/>
        <v>0</v>
      </c>
      <c r="H137">
        <f t="shared" si="20"/>
        <v>0.39669308405142323</v>
      </c>
      <c r="I137">
        <f t="shared" si="21"/>
        <v>-0.9443889784703007</v>
      </c>
    </row>
    <row r="138" spans="1:9" ht="12.75">
      <c r="A138">
        <v>-130</v>
      </c>
      <c r="B138">
        <f t="shared" si="20"/>
        <v>-0.7597892694800245</v>
      </c>
      <c r="C138">
        <f t="shared" si="20"/>
        <v>0.04107768621834256</v>
      </c>
      <c r="D138">
        <f t="shared" si="20"/>
        <v>-0.006229818724023585</v>
      </c>
      <c r="E138">
        <f t="shared" si="20"/>
        <v>-0.5237170076121953</v>
      </c>
      <c r="F138">
        <f t="shared" si="20"/>
        <v>-0.06810091516579336</v>
      </c>
      <c r="G138">
        <f t="shared" si="20"/>
        <v>0</v>
      </c>
      <c r="H138">
        <f t="shared" si="20"/>
        <v>0.6708650205181264</v>
      </c>
      <c r="I138">
        <f t="shared" si="21"/>
        <v>-0.6458943042455678</v>
      </c>
    </row>
    <row r="139" spans="1:9" ht="12.75">
      <c r="A139">
        <v>-120</v>
      </c>
      <c r="B139">
        <f t="shared" si="20"/>
        <v>-0.69375</v>
      </c>
      <c r="C139">
        <f t="shared" si="20"/>
        <v>0.05250000000000002</v>
      </c>
      <c r="D139">
        <f t="shared" si="20"/>
        <v>0</v>
      </c>
      <c r="E139">
        <f t="shared" si="20"/>
        <v>-0.4049999999999998</v>
      </c>
      <c r="F139">
        <f t="shared" si="20"/>
        <v>-0.15524999999999997</v>
      </c>
      <c r="G139">
        <f t="shared" si="20"/>
        <v>0</v>
      </c>
      <c r="H139">
        <f t="shared" si="20"/>
        <v>0.5070000000000002</v>
      </c>
      <c r="I139">
        <f t="shared" si="21"/>
        <v>-0.6944999999999993</v>
      </c>
    </row>
    <row r="140" spans="1:9" ht="12.75">
      <c r="A140">
        <v>-110</v>
      </c>
      <c r="B140">
        <f t="shared" si="20"/>
        <v>-0.6206843162881218</v>
      </c>
      <c r="C140">
        <f t="shared" si="20"/>
        <v>0.061811555509164236</v>
      </c>
      <c r="D140">
        <f t="shared" si="20"/>
        <v>-0.006229818724023615</v>
      </c>
      <c r="E140">
        <f t="shared" si="20"/>
        <v>-0.2231149920299288</v>
      </c>
      <c r="F140">
        <f t="shared" si="20"/>
        <v>-0.20542760243676353</v>
      </c>
      <c r="G140">
        <f t="shared" si="20"/>
        <v>0</v>
      </c>
      <c r="H140">
        <f t="shared" si="20"/>
        <v>0.12073778792594977</v>
      </c>
      <c r="I140">
        <f t="shared" si="21"/>
        <v>-0.8729073860437236</v>
      </c>
    </row>
    <row r="141" spans="1:9" ht="12.75">
      <c r="A141">
        <v>-100</v>
      </c>
      <c r="B141">
        <f t="shared" si="20"/>
        <v>-0.5428122821709553</v>
      </c>
      <c r="C141">
        <f t="shared" si="20"/>
        <v>0.06788924172750681</v>
      </c>
      <c r="D141">
        <f t="shared" si="20"/>
        <v>-0.023249999999999996</v>
      </c>
      <c r="E141">
        <f t="shared" si="20"/>
        <v>-0.06316800035787591</v>
      </c>
      <c r="F141">
        <f t="shared" si="20"/>
        <v>-0.18278559986281415</v>
      </c>
      <c r="G141">
        <f t="shared" si="20"/>
        <v>0</v>
      </c>
      <c r="H141">
        <f t="shared" si="20"/>
        <v>0.020383894174363176</v>
      </c>
      <c r="I141">
        <f t="shared" si="21"/>
        <v>-0.7237427464897754</v>
      </c>
    </row>
    <row r="142" spans="1:9" ht="12.75">
      <c r="A142">
        <v>-90</v>
      </c>
      <c r="B142">
        <f t="shared" si="20"/>
        <v>-0.46249999999999997</v>
      </c>
      <c r="C142">
        <f t="shared" si="20"/>
        <v>0.07</v>
      </c>
      <c r="D142">
        <f t="shared" si="20"/>
        <v>-0.04650000000000001</v>
      </c>
      <c r="E142">
        <f t="shared" si="20"/>
        <v>0</v>
      </c>
      <c r="F142">
        <f t="shared" si="20"/>
        <v>-0.10349999999999997</v>
      </c>
      <c r="G142">
        <f t="shared" si="20"/>
        <v>0</v>
      </c>
      <c r="H142">
        <f t="shared" si="20"/>
        <v>0.3380000000000002</v>
      </c>
      <c r="I142">
        <f t="shared" si="21"/>
        <v>-0.20449999999999968</v>
      </c>
    </row>
    <row r="143" spans="1:9" ht="12.75">
      <c r="A143">
        <v>-80</v>
      </c>
      <c r="B143">
        <f aca="true" t="shared" si="22" ref="B143:H152">1/2*B$131*(1-COS(B$4*$A143*PI()/180))</f>
        <v>-0.3821877178290447</v>
      </c>
      <c r="C143">
        <f t="shared" si="22"/>
        <v>0.06788924172750681</v>
      </c>
      <c r="D143">
        <f t="shared" si="22"/>
        <v>-0.06975000000000002</v>
      </c>
      <c r="E143">
        <f t="shared" si="22"/>
        <v>-0.063168000357876</v>
      </c>
      <c r="F143">
        <f t="shared" si="22"/>
        <v>-0.024214400137185763</v>
      </c>
      <c r="G143">
        <f t="shared" si="22"/>
        <v>0</v>
      </c>
      <c r="H143">
        <f t="shared" si="22"/>
        <v>0.6556161058256371</v>
      </c>
      <c r="I143">
        <f t="shared" si="21"/>
        <v>0.1841852292290374</v>
      </c>
    </row>
    <row r="144" spans="1:9" ht="12.75">
      <c r="A144">
        <v>-70</v>
      </c>
      <c r="B144">
        <f t="shared" si="22"/>
        <v>-0.30431568371187817</v>
      </c>
      <c r="C144">
        <f t="shared" si="22"/>
        <v>0.061811555509164236</v>
      </c>
      <c r="D144">
        <f t="shared" si="22"/>
        <v>-0.0867701812759764</v>
      </c>
      <c r="E144">
        <f t="shared" si="22"/>
        <v>-0.22311499202992893</v>
      </c>
      <c r="F144">
        <f t="shared" si="22"/>
        <v>-0.0015723975632364812</v>
      </c>
      <c r="G144">
        <f t="shared" si="22"/>
        <v>0</v>
      </c>
      <c r="H144">
        <f t="shared" si="22"/>
        <v>0.55526221207405</v>
      </c>
      <c r="I144">
        <f t="shared" si="21"/>
        <v>0.001300513002194248</v>
      </c>
    </row>
    <row r="145" spans="1:9" ht="12.75">
      <c r="A145">
        <v>-60</v>
      </c>
      <c r="B145">
        <f t="shared" si="22"/>
        <v>-0.23124999999999996</v>
      </c>
      <c r="C145">
        <f t="shared" si="22"/>
        <v>0.0525</v>
      </c>
      <c r="D145">
        <f t="shared" si="22"/>
        <v>-0.093</v>
      </c>
      <c r="E145">
        <f t="shared" si="22"/>
        <v>-0.40500000000000014</v>
      </c>
      <c r="F145">
        <f t="shared" si="22"/>
        <v>-0.051749999999999984</v>
      </c>
      <c r="G145">
        <f t="shared" si="22"/>
        <v>0</v>
      </c>
      <c r="H145">
        <f t="shared" si="22"/>
        <v>0.1690000000000001</v>
      </c>
      <c r="I145">
        <f t="shared" si="21"/>
        <v>-0.5594999999999999</v>
      </c>
    </row>
    <row r="146" spans="1:9" ht="12.75">
      <c r="A146">
        <v>-50</v>
      </c>
      <c r="B146">
        <f t="shared" si="22"/>
        <v>-0.16521073051997556</v>
      </c>
      <c r="C146">
        <f t="shared" si="22"/>
        <v>0.04107768621834256</v>
      </c>
      <c r="D146">
        <f t="shared" si="22"/>
        <v>-0.08677018127597641</v>
      </c>
      <c r="E146">
        <f t="shared" si="22"/>
        <v>-0.5237170076121953</v>
      </c>
      <c r="F146">
        <f t="shared" si="22"/>
        <v>-0.13889908483420677</v>
      </c>
      <c r="G146">
        <f t="shared" si="22"/>
        <v>0</v>
      </c>
      <c r="H146">
        <f t="shared" si="22"/>
        <v>0.005134979481873727</v>
      </c>
      <c r="I146">
        <f t="shared" si="21"/>
        <v>-0.8683843385421378</v>
      </c>
    </row>
    <row r="147" spans="1:9" ht="12.75">
      <c r="A147">
        <v>-40</v>
      </c>
      <c r="B147">
        <f t="shared" si="22"/>
        <v>-0.10820444505747268</v>
      </c>
      <c r="C147">
        <f t="shared" si="22"/>
        <v>0.02892231378165744</v>
      </c>
      <c r="D147">
        <f t="shared" si="22"/>
        <v>-0.06974999999999999</v>
      </c>
      <c r="E147">
        <f t="shared" si="22"/>
        <v>-0.5237170076121953</v>
      </c>
      <c r="F147">
        <f t="shared" si="22"/>
        <v>-0.2007581862513415</v>
      </c>
      <c r="G147">
        <f t="shared" si="22"/>
        <v>0</v>
      </c>
      <c r="H147">
        <f t="shared" si="22"/>
        <v>0.2793069159485777</v>
      </c>
      <c r="I147">
        <f t="shared" si="21"/>
        <v>-0.5942004091907742</v>
      </c>
    </row>
    <row r="148" spans="1:9" ht="12.75">
      <c r="A148">
        <v>-30</v>
      </c>
      <c r="B148">
        <f t="shared" si="22"/>
        <v>-0.0619632507496971</v>
      </c>
      <c r="C148">
        <f t="shared" si="22"/>
        <v>0.017499999999999998</v>
      </c>
      <c r="D148">
        <f t="shared" si="22"/>
        <v>-0.04649999999999999</v>
      </c>
      <c r="E148">
        <f t="shared" si="22"/>
        <v>-0.40499999999999997</v>
      </c>
      <c r="F148">
        <f t="shared" si="22"/>
        <v>-0.1931336292916894</v>
      </c>
      <c r="G148">
        <f t="shared" si="22"/>
        <v>0</v>
      </c>
      <c r="H148">
        <f t="shared" si="22"/>
        <v>0.6307165864791403</v>
      </c>
      <c r="I148">
        <f t="shared" si="21"/>
        <v>-0.058380293562246166</v>
      </c>
    </row>
    <row r="149" spans="1:9" ht="12.75">
      <c r="A149">
        <v>-20</v>
      </c>
      <c r="B149">
        <f t="shared" si="22"/>
        <v>-0.027892162886517354</v>
      </c>
      <c r="C149">
        <f t="shared" si="22"/>
        <v>0.008188444490835771</v>
      </c>
      <c r="D149">
        <f t="shared" si="22"/>
        <v>-0.023249999999999996</v>
      </c>
      <c r="E149">
        <f t="shared" si="22"/>
        <v>-0.2231149920299288</v>
      </c>
      <c r="F149">
        <f t="shared" si="22"/>
        <v>-0.12147258638852729</v>
      </c>
      <c r="G149">
        <f t="shared" si="22"/>
        <v>0</v>
      </c>
      <c r="H149">
        <f t="shared" si="22"/>
        <v>0.5969230217742145</v>
      </c>
      <c r="I149">
        <f t="shared" si="21"/>
        <v>0.2093817249600769</v>
      </c>
    </row>
    <row r="150" spans="1:9" ht="12.75">
      <c r="A150">
        <v>-10</v>
      </c>
      <c r="B150">
        <f t="shared" si="22"/>
        <v>-0.007026414231853791</v>
      </c>
      <c r="C150">
        <f t="shared" si="22"/>
        <v>0.0021107582724932054</v>
      </c>
      <c r="D150">
        <f t="shared" si="22"/>
        <v>-0.0062298187240236004</v>
      </c>
      <c r="E150">
        <f t="shared" si="22"/>
        <v>-0.06316800035787594</v>
      </c>
      <c r="F150">
        <f t="shared" si="22"/>
        <v>-0.036971482397443176</v>
      </c>
      <c r="G150">
        <f t="shared" si="22"/>
        <v>0</v>
      </c>
      <c r="H150">
        <f t="shared" si="22"/>
        <v>0.22239719155592394</v>
      </c>
      <c r="I150">
        <f t="shared" si="21"/>
        <v>0.11111223411722064</v>
      </c>
    </row>
    <row r="151" spans="1:9" ht="12.75">
      <c r="A151">
        <v>0</v>
      </c>
      <c r="B151">
        <f t="shared" si="22"/>
        <v>0</v>
      </c>
      <c r="C151">
        <f t="shared" si="22"/>
        <v>0</v>
      </c>
      <c r="D151">
        <f t="shared" si="22"/>
        <v>0</v>
      </c>
      <c r="E151">
        <f t="shared" si="22"/>
        <v>0</v>
      </c>
      <c r="F151">
        <f t="shared" si="22"/>
        <v>0</v>
      </c>
      <c r="G151">
        <f t="shared" si="22"/>
        <v>0</v>
      </c>
      <c r="H151">
        <f t="shared" si="22"/>
        <v>0</v>
      </c>
      <c r="I151">
        <f t="shared" si="21"/>
        <v>0</v>
      </c>
    </row>
    <row r="152" spans="1:9" ht="12.75">
      <c r="A152">
        <v>10</v>
      </c>
      <c r="B152">
        <f t="shared" si="22"/>
        <v>-0.007026414231853791</v>
      </c>
      <c r="C152">
        <f t="shared" si="22"/>
        <v>0.0021107582724932054</v>
      </c>
      <c r="D152">
        <f t="shared" si="22"/>
        <v>-0.0062298187240236004</v>
      </c>
      <c r="E152">
        <f t="shared" si="22"/>
        <v>-0.06316800035787594</v>
      </c>
      <c r="F152">
        <f t="shared" si="22"/>
        <v>-0.036971482397443176</v>
      </c>
      <c r="G152">
        <f t="shared" si="22"/>
        <v>0</v>
      </c>
      <c r="H152">
        <f t="shared" si="22"/>
        <v>0.22239719155592394</v>
      </c>
      <c r="I152">
        <f t="shared" si="21"/>
        <v>0.11111223411722064</v>
      </c>
    </row>
    <row r="153" spans="1:9" ht="12.75">
      <c r="A153">
        <v>20</v>
      </c>
      <c r="B153">
        <f aca="true" t="shared" si="23" ref="B153:H162">1/2*B$131*(1-COS(B$4*$A153*PI()/180))</f>
        <v>-0.027892162886517354</v>
      </c>
      <c r="C153">
        <f t="shared" si="23"/>
        <v>0.008188444490835771</v>
      </c>
      <c r="D153">
        <f t="shared" si="23"/>
        <v>-0.023249999999999996</v>
      </c>
      <c r="E153">
        <f t="shared" si="23"/>
        <v>-0.2231149920299288</v>
      </c>
      <c r="F153">
        <f t="shared" si="23"/>
        <v>-0.12147258638852729</v>
      </c>
      <c r="G153">
        <f t="shared" si="23"/>
        <v>0</v>
      </c>
      <c r="H153">
        <f t="shared" si="23"/>
        <v>0.5969230217742145</v>
      </c>
      <c r="I153">
        <f t="shared" si="21"/>
        <v>0.2093817249600769</v>
      </c>
    </row>
    <row r="154" spans="1:9" ht="12.75">
      <c r="A154">
        <v>30</v>
      </c>
      <c r="B154">
        <f t="shared" si="23"/>
        <v>-0.0619632507496971</v>
      </c>
      <c r="C154">
        <f t="shared" si="23"/>
        <v>0.017499999999999998</v>
      </c>
      <c r="D154">
        <f t="shared" si="23"/>
        <v>-0.04649999999999999</v>
      </c>
      <c r="E154">
        <f t="shared" si="23"/>
        <v>-0.40499999999999997</v>
      </c>
      <c r="F154">
        <f t="shared" si="23"/>
        <v>-0.1931336292916894</v>
      </c>
      <c r="G154">
        <f t="shared" si="23"/>
        <v>0</v>
      </c>
      <c r="H154">
        <f t="shared" si="23"/>
        <v>0.6307165864791403</v>
      </c>
      <c r="I154">
        <f t="shared" si="21"/>
        <v>-0.058380293562246166</v>
      </c>
    </row>
    <row r="155" spans="1:9" ht="12.75">
      <c r="A155">
        <v>40</v>
      </c>
      <c r="B155">
        <f t="shared" si="23"/>
        <v>-0.10820444505747268</v>
      </c>
      <c r="C155">
        <f t="shared" si="23"/>
        <v>0.02892231378165744</v>
      </c>
      <c r="D155">
        <f t="shared" si="23"/>
        <v>-0.06974999999999999</v>
      </c>
      <c r="E155">
        <f t="shared" si="23"/>
        <v>-0.5237170076121953</v>
      </c>
      <c r="F155">
        <f t="shared" si="23"/>
        <v>-0.2007581862513415</v>
      </c>
      <c r="G155">
        <f t="shared" si="23"/>
        <v>0</v>
      </c>
      <c r="H155">
        <f t="shared" si="23"/>
        <v>0.2793069159485777</v>
      </c>
      <c r="I155">
        <f t="shared" si="21"/>
        <v>-0.5942004091907742</v>
      </c>
    </row>
    <row r="156" spans="1:9" ht="12.75">
      <c r="A156">
        <v>50</v>
      </c>
      <c r="B156">
        <f t="shared" si="23"/>
        <v>-0.16521073051997556</v>
      </c>
      <c r="C156">
        <f t="shared" si="23"/>
        <v>0.04107768621834256</v>
      </c>
      <c r="D156">
        <f t="shared" si="23"/>
        <v>-0.08677018127597641</v>
      </c>
      <c r="E156">
        <f t="shared" si="23"/>
        <v>-0.5237170076121953</v>
      </c>
      <c r="F156">
        <f t="shared" si="23"/>
        <v>-0.13889908483420677</v>
      </c>
      <c r="G156">
        <f t="shared" si="23"/>
        <v>0</v>
      </c>
      <c r="H156">
        <f t="shared" si="23"/>
        <v>0.005134979481873727</v>
      </c>
      <c r="I156">
        <f t="shared" si="21"/>
        <v>-0.8683843385421378</v>
      </c>
    </row>
    <row r="157" spans="1:9" ht="12.75">
      <c r="A157">
        <v>60</v>
      </c>
      <c r="B157">
        <f t="shared" si="23"/>
        <v>-0.23124999999999996</v>
      </c>
      <c r="C157">
        <f t="shared" si="23"/>
        <v>0.0525</v>
      </c>
      <c r="D157">
        <f t="shared" si="23"/>
        <v>-0.093</v>
      </c>
      <c r="E157">
        <f t="shared" si="23"/>
        <v>-0.40500000000000014</v>
      </c>
      <c r="F157">
        <f t="shared" si="23"/>
        <v>-0.051749999999999984</v>
      </c>
      <c r="G157">
        <f t="shared" si="23"/>
        <v>0</v>
      </c>
      <c r="H157">
        <f t="shared" si="23"/>
        <v>0.1690000000000001</v>
      </c>
      <c r="I157">
        <f t="shared" si="21"/>
        <v>-0.5594999999999999</v>
      </c>
    </row>
    <row r="158" spans="1:9" ht="12.75">
      <c r="A158">
        <v>70</v>
      </c>
      <c r="B158">
        <f t="shared" si="23"/>
        <v>-0.30431568371187817</v>
      </c>
      <c r="C158">
        <f t="shared" si="23"/>
        <v>0.061811555509164236</v>
      </c>
      <c r="D158">
        <f t="shared" si="23"/>
        <v>-0.0867701812759764</v>
      </c>
      <c r="E158">
        <f t="shared" si="23"/>
        <v>-0.22311499202992893</v>
      </c>
      <c r="F158">
        <f t="shared" si="23"/>
        <v>-0.0015723975632364812</v>
      </c>
      <c r="G158">
        <f t="shared" si="23"/>
        <v>0</v>
      </c>
      <c r="H158">
        <f t="shared" si="23"/>
        <v>0.55526221207405</v>
      </c>
      <c r="I158">
        <f t="shared" si="21"/>
        <v>0.001300513002194248</v>
      </c>
    </row>
    <row r="159" spans="1:9" ht="12.75">
      <c r="A159">
        <v>80</v>
      </c>
      <c r="B159">
        <f t="shared" si="23"/>
        <v>-0.3821877178290447</v>
      </c>
      <c r="C159">
        <f t="shared" si="23"/>
        <v>0.06788924172750681</v>
      </c>
      <c r="D159">
        <f t="shared" si="23"/>
        <v>-0.06975000000000002</v>
      </c>
      <c r="E159">
        <f t="shared" si="23"/>
        <v>-0.063168000357876</v>
      </c>
      <c r="F159">
        <f t="shared" si="23"/>
        <v>-0.024214400137185763</v>
      </c>
      <c r="G159">
        <f t="shared" si="23"/>
        <v>0</v>
      </c>
      <c r="H159">
        <f t="shared" si="23"/>
        <v>0.6556161058256371</v>
      </c>
      <c r="I159">
        <f t="shared" si="21"/>
        <v>0.1841852292290374</v>
      </c>
    </row>
    <row r="160" spans="1:9" ht="12.75">
      <c r="A160">
        <v>90</v>
      </c>
      <c r="B160">
        <f t="shared" si="23"/>
        <v>-0.46249999999999997</v>
      </c>
      <c r="C160">
        <f t="shared" si="23"/>
        <v>0.07</v>
      </c>
      <c r="D160">
        <f t="shared" si="23"/>
        <v>-0.04650000000000001</v>
      </c>
      <c r="E160">
        <f t="shared" si="23"/>
        <v>0</v>
      </c>
      <c r="F160">
        <f t="shared" si="23"/>
        <v>-0.10349999999999997</v>
      </c>
      <c r="G160">
        <f t="shared" si="23"/>
        <v>0</v>
      </c>
      <c r="H160">
        <f t="shared" si="23"/>
        <v>0.3380000000000002</v>
      </c>
      <c r="I160">
        <f t="shared" si="21"/>
        <v>-0.20449999999999968</v>
      </c>
    </row>
    <row r="161" spans="1:9" ht="12.75">
      <c r="A161">
        <v>100</v>
      </c>
      <c r="B161">
        <f t="shared" si="23"/>
        <v>-0.5428122821709553</v>
      </c>
      <c r="C161">
        <f t="shared" si="23"/>
        <v>0.06788924172750681</v>
      </c>
      <c r="D161">
        <f t="shared" si="23"/>
        <v>-0.023249999999999996</v>
      </c>
      <c r="E161">
        <f t="shared" si="23"/>
        <v>-0.06316800035787591</v>
      </c>
      <c r="F161">
        <f t="shared" si="23"/>
        <v>-0.18278559986281415</v>
      </c>
      <c r="G161">
        <f t="shared" si="23"/>
        <v>0</v>
      </c>
      <c r="H161">
        <f t="shared" si="23"/>
        <v>0.020383894174363176</v>
      </c>
      <c r="I161">
        <f t="shared" si="21"/>
        <v>-0.7237427464897754</v>
      </c>
    </row>
    <row r="162" spans="1:9" ht="12.75">
      <c r="A162">
        <v>110</v>
      </c>
      <c r="B162">
        <f t="shared" si="23"/>
        <v>-0.6206843162881218</v>
      </c>
      <c r="C162">
        <f t="shared" si="23"/>
        <v>0.061811555509164236</v>
      </c>
      <c r="D162">
        <f t="shared" si="23"/>
        <v>-0.006229818724023615</v>
      </c>
      <c r="E162">
        <f t="shared" si="23"/>
        <v>-0.2231149920299288</v>
      </c>
      <c r="F162">
        <f t="shared" si="23"/>
        <v>-0.20542760243676353</v>
      </c>
      <c r="G162">
        <f t="shared" si="23"/>
        <v>0</v>
      </c>
      <c r="H162">
        <f t="shared" si="23"/>
        <v>0.12073778792594977</v>
      </c>
      <c r="I162">
        <f t="shared" si="21"/>
        <v>-0.8729073860437236</v>
      </c>
    </row>
    <row r="163" spans="1:9" ht="12.75">
      <c r="A163">
        <v>120</v>
      </c>
      <c r="B163">
        <f aca="true" t="shared" si="24" ref="B163:H169">1/2*B$131*(1-COS(B$4*$A163*PI()/180))</f>
        <v>-0.69375</v>
      </c>
      <c r="C163">
        <f t="shared" si="24"/>
        <v>0.05250000000000002</v>
      </c>
      <c r="D163">
        <f t="shared" si="24"/>
        <v>0</v>
      </c>
      <c r="E163">
        <f t="shared" si="24"/>
        <v>-0.4049999999999998</v>
      </c>
      <c r="F163">
        <f t="shared" si="24"/>
        <v>-0.15524999999999997</v>
      </c>
      <c r="G163">
        <f t="shared" si="24"/>
        <v>0</v>
      </c>
      <c r="H163">
        <f t="shared" si="24"/>
        <v>0.5070000000000002</v>
      </c>
      <c r="I163">
        <f t="shared" si="21"/>
        <v>-0.6944999999999993</v>
      </c>
    </row>
    <row r="164" spans="1:9" ht="12.75">
      <c r="A164">
        <v>130</v>
      </c>
      <c r="B164">
        <f t="shared" si="24"/>
        <v>-0.7597892694800245</v>
      </c>
      <c r="C164">
        <f t="shared" si="24"/>
        <v>0.04107768621834256</v>
      </c>
      <c r="D164">
        <f t="shared" si="24"/>
        <v>-0.006229818724023585</v>
      </c>
      <c r="E164">
        <f t="shared" si="24"/>
        <v>-0.5237170076121953</v>
      </c>
      <c r="F164">
        <f t="shared" si="24"/>
        <v>-0.06810091516579336</v>
      </c>
      <c r="G164">
        <f t="shared" si="24"/>
        <v>0</v>
      </c>
      <c r="H164">
        <f t="shared" si="24"/>
        <v>0.6708650205181264</v>
      </c>
      <c r="I164">
        <f t="shared" si="21"/>
        <v>-0.6458943042455678</v>
      </c>
    </row>
    <row r="165" spans="1:9" ht="12.75">
      <c r="A165">
        <v>140</v>
      </c>
      <c r="B165">
        <f t="shared" si="24"/>
        <v>-0.8167955549425273</v>
      </c>
      <c r="C165">
        <f t="shared" si="24"/>
        <v>0.028922313781657452</v>
      </c>
      <c r="D165">
        <f t="shared" si="24"/>
        <v>-0.02325000000000001</v>
      </c>
      <c r="E165">
        <f t="shared" si="24"/>
        <v>-0.5237170076121954</v>
      </c>
      <c r="F165">
        <f t="shared" si="24"/>
        <v>-0.006241813748658546</v>
      </c>
      <c r="G165">
        <f t="shared" si="24"/>
        <v>0</v>
      </c>
      <c r="H165">
        <f t="shared" si="24"/>
        <v>0.39669308405142323</v>
      </c>
      <c r="I165">
        <f t="shared" si="21"/>
        <v>-0.9443889784703007</v>
      </c>
    </row>
    <row r="166" spans="1:9" ht="12.75">
      <c r="A166">
        <v>150</v>
      </c>
      <c r="B166">
        <f t="shared" si="24"/>
        <v>-0.863036749250303</v>
      </c>
      <c r="C166">
        <f t="shared" si="24"/>
        <v>0.017499999999999998</v>
      </c>
      <c r="D166">
        <f t="shared" si="24"/>
        <v>-0.046499999999999986</v>
      </c>
      <c r="E166">
        <f t="shared" si="24"/>
        <v>-0.40499999999999997</v>
      </c>
      <c r="F166">
        <f t="shared" si="24"/>
        <v>-0.013866370708310547</v>
      </c>
      <c r="G166">
        <f t="shared" si="24"/>
        <v>0</v>
      </c>
      <c r="H166">
        <f t="shared" si="24"/>
        <v>0.04528341352085976</v>
      </c>
      <c r="I166">
        <f t="shared" si="21"/>
        <v>-1.265619706437754</v>
      </c>
    </row>
    <row r="167" spans="1:9" ht="12.75">
      <c r="A167">
        <v>160</v>
      </c>
      <c r="B167">
        <f t="shared" si="24"/>
        <v>-0.8971078371134827</v>
      </c>
      <c r="C167">
        <f t="shared" si="24"/>
        <v>0.008188444490835778</v>
      </c>
      <c r="D167">
        <f t="shared" si="24"/>
        <v>-0.06974999999999996</v>
      </c>
      <c r="E167">
        <f t="shared" si="24"/>
        <v>-0.223114992029929</v>
      </c>
      <c r="F167">
        <f t="shared" si="24"/>
        <v>-0.08552741361147266</v>
      </c>
      <c r="G167">
        <f t="shared" si="24"/>
        <v>0</v>
      </c>
      <c r="H167">
        <f t="shared" si="24"/>
        <v>0.0790769782257851</v>
      </c>
      <c r="I167">
        <f t="shared" si="21"/>
        <v>-1.1882348200382635</v>
      </c>
    </row>
    <row r="168" spans="1:9" ht="12.75">
      <c r="A168">
        <v>170</v>
      </c>
      <c r="B168">
        <f t="shared" si="24"/>
        <v>-0.9179735857681462</v>
      </c>
      <c r="C168">
        <f t="shared" si="24"/>
        <v>0.0021107582724932054</v>
      </c>
      <c r="D168">
        <f t="shared" si="24"/>
        <v>-0.08677018127597641</v>
      </c>
      <c r="E168">
        <f t="shared" si="24"/>
        <v>-0.06316800035787588</v>
      </c>
      <c r="F168">
        <f t="shared" si="24"/>
        <v>-0.17002851760255672</v>
      </c>
      <c r="G168">
        <f t="shared" si="24"/>
        <v>0</v>
      </c>
      <c r="H168">
        <f t="shared" si="24"/>
        <v>0.45360280844407513</v>
      </c>
      <c r="I168">
        <f t="shared" si="21"/>
        <v>-0.782226718287987</v>
      </c>
    </row>
    <row r="169" spans="1:9" ht="12.75">
      <c r="A169">
        <v>180</v>
      </c>
      <c r="B169">
        <f t="shared" si="24"/>
        <v>-0.925</v>
      </c>
      <c r="C169">
        <f t="shared" si="24"/>
        <v>0</v>
      </c>
      <c r="D169">
        <f t="shared" si="24"/>
        <v>-0.093</v>
      </c>
      <c r="E169">
        <f t="shared" si="24"/>
        <v>0</v>
      </c>
      <c r="F169">
        <f t="shared" si="24"/>
        <v>-0.207</v>
      </c>
      <c r="G169">
        <f t="shared" si="24"/>
        <v>0</v>
      </c>
      <c r="H169">
        <f t="shared" si="24"/>
        <v>0.676</v>
      </c>
      <c r="I169">
        <f t="shared" si="21"/>
        <v>-0.549</v>
      </c>
    </row>
    <row r="171" ht="12.75">
      <c r="A171" t="s">
        <v>332</v>
      </c>
    </row>
    <row r="172" spans="2:4" ht="12.75">
      <c r="B172" t="s">
        <v>260</v>
      </c>
      <c r="C172" t="s">
        <v>329</v>
      </c>
      <c r="D172" t="s">
        <v>8</v>
      </c>
    </row>
    <row r="173" spans="1:4" ht="12.75">
      <c r="A173" t="s">
        <v>91</v>
      </c>
      <c r="B173">
        <v>15575.63</v>
      </c>
      <c r="C173">
        <v>0.28371</v>
      </c>
      <c r="D173">
        <v>298.08</v>
      </c>
    </row>
    <row r="174" spans="1:4" ht="12.75">
      <c r="A174" t="s">
        <v>110</v>
      </c>
      <c r="B174">
        <v>63635</v>
      </c>
      <c r="C174">
        <v>0.234687</v>
      </c>
      <c r="D174">
        <v>124.3</v>
      </c>
    </row>
    <row r="175" spans="1:4" ht="12.75">
      <c r="A175" t="s">
        <v>333</v>
      </c>
      <c r="B175">
        <f>SQRT(B$173*B174)</f>
        <v>31482.617665149763</v>
      </c>
      <c r="C175">
        <f>(2/(1/C$173+1/C174))</f>
        <v>0.2568805327577128</v>
      </c>
      <c r="D175">
        <f>SQRT(D$173*D174)</f>
        <v>192.48725672106193</v>
      </c>
    </row>
    <row r="176" spans="1:4" ht="12.75">
      <c r="A176" t="s">
        <v>87</v>
      </c>
      <c r="B176">
        <v>14976</v>
      </c>
      <c r="C176">
        <v>0.323625</v>
      </c>
      <c r="D176">
        <v>640.8</v>
      </c>
    </row>
    <row r="177" spans="1:4" ht="12.75">
      <c r="A177" t="s">
        <v>334</v>
      </c>
      <c r="B177">
        <f>SQRT(B$173*B176)</f>
        <v>15272.872515673009</v>
      </c>
      <c r="C177">
        <f>(2/(1/C$173+1/C176))</f>
        <v>0.3023558620859987</v>
      </c>
      <c r="D177">
        <f>SQRT(D$173*D176)</f>
        <v>437.04652383928186</v>
      </c>
    </row>
  </sheetData>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G14" sqref="G14"/>
    </sheetView>
  </sheetViews>
  <sheetFormatPr defaultColWidth="9.140625" defaultRowHeight="12.75"/>
  <cols>
    <col min="8" max="8" width="19.28125" style="0" customWidth="1"/>
  </cols>
  <sheetData>
    <row r="1" spans="4:6" ht="12.75">
      <c r="D1" t="s">
        <v>176</v>
      </c>
      <c r="E1" t="s">
        <v>322</v>
      </c>
      <c r="F1" t="s">
        <v>350</v>
      </c>
    </row>
    <row r="2" spans="1:10" ht="12.75">
      <c r="A2">
        <v>54</v>
      </c>
      <c r="B2">
        <v>9</v>
      </c>
      <c r="C2" t="s">
        <v>9</v>
      </c>
      <c r="D2">
        <v>-0.22</v>
      </c>
      <c r="E2">
        <v>2.94</v>
      </c>
      <c r="F2">
        <v>0.061</v>
      </c>
      <c r="G2" t="s">
        <v>9</v>
      </c>
      <c r="H2" t="s">
        <v>359</v>
      </c>
      <c r="I2" t="s">
        <v>360</v>
      </c>
      <c r="J2" t="s">
        <v>361</v>
      </c>
    </row>
    <row r="3" spans="1:11" ht="12.75">
      <c r="A3">
        <v>108</v>
      </c>
      <c r="B3">
        <v>8</v>
      </c>
      <c r="C3" t="s">
        <v>103</v>
      </c>
      <c r="D3">
        <v>-0.5</v>
      </c>
      <c r="E3">
        <v>3</v>
      </c>
      <c r="F3">
        <v>0.17</v>
      </c>
      <c r="G3" t="s">
        <v>362</v>
      </c>
      <c r="H3" t="s">
        <v>4</v>
      </c>
      <c r="I3" t="s">
        <v>363</v>
      </c>
      <c r="J3">
        <v>-1990</v>
      </c>
      <c r="K3" t="s">
        <v>364</v>
      </c>
    </row>
    <row r="4" spans="1:10" ht="12.75">
      <c r="A4">
        <v>110</v>
      </c>
      <c r="B4">
        <v>6</v>
      </c>
      <c r="C4" t="s">
        <v>94</v>
      </c>
      <c r="D4">
        <v>0.25</v>
      </c>
      <c r="E4">
        <v>3.8</v>
      </c>
      <c r="F4">
        <v>0.118</v>
      </c>
      <c r="G4" t="s">
        <v>362</v>
      </c>
      <c r="H4" t="s">
        <v>365</v>
      </c>
      <c r="I4" t="s">
        <v>366</v>
      </c>
      <c r="J4" t="s">
        <v>367</v>
      </c>
    </row>
    <row r="5" spans="1:8" ht="12.75">
      <c r="A5">
        <v>161</v>
      </c>
      <c r="B5">
        <v>6</v>
      </c>
      <c r="C5" t="s">
        <v>111</v>
      </c>
      <c r="D5">
        <v>0.5323</v>
      </c>
      <c r="E5">
        <v>3.25</v>
      </c>
      <c r="F5">
        <v>0.062</v>
      </c>
      <c r="G5" t="s">
        <v>368</v>
      </c>
      <c r="H5" t="s">
        <v>369</v>
      </c>
    </row>
    <row r="6" spans="1:8" ht="12.75">
      <c r="A6">
        <v>164</v>
      </c>
      <c r="B6">
        <v>9</v>
      </c>
      <c r="C6" t="s">
        <v>9</v>
      </c>
      <c r="D6">
        <v>-0.2057</v>
      </c>
      <c r="E6">
        <v>2.94</v>
      </c>
      <c r="F6">
        <v>0.061</v>
      </c>
      <c r="G6" t="s">
        <v>9</v>
      </c>
      <c r="H6" t="s">
        <v>369</v>
      </c>
    </row>
    <row r="7" spans="1:12" ht="12.75">
      <c r="A7">
        <v>961</v>
      </c>
      <c r="B7">
        <v>6</v>
      </c>
      <c r="C7" t="s">
        <v>111</v>
      </c>
      <c r="D7">
        <v>0.36</v>
      </c>
      <c r="E7">
        <v>3.5</v>
      </c>
      <c r="F7">
        <v>0.066</v>
      </c>
      <c r="G7" t="s">
        <v>368</v>
      </c>
      <c r="H7" t="s">
        <v>370</v>
      </c>
      <c r="I7" t="s">
        <v>371</v>
      </c>
      <c r="J7" t="s">
        <v>372</v>
      </c>
      <c r="K7" t="s">
        <v>373</v>
      </c>
      <c r="L7">
        <v>4118</v>
      </c>
    </row>
    <row r="8" spans="1:8" ht="12.75">
      <c r="A8">
        <v>962</v>
      </c>
      <c r="B8">
        <v>6</v>
      </c>
      <c r="C8" t="s">
        <v>111</v>
      </c>
      <c r="D8">
        <v>0.24</v>
      </c>
      <c r="E8">
        <v>3.5</v>
      </c>
      <c r="F8">
        <v>0.066</v>
      </c>
      <c r="G8" t="s">
        <v>374</v>
      </c>
      <c r="H8" t="s">
        <v>370</v>
      </c>
    </row>
    <row r="9" spans="1:8" ht="12.75">
      <c r="A9">
        <v>963</v>
      </c>
      <c r="B9">
        <v>6</v>
      </c>
      <c r="C9" t="s">
        <v>111</v>
      </c>
      <c r="D9">
        <v>0.12</v>
      </c>
      <c r="E9">
        <v>3.5</v>
      </c>
      <c r="F9">
        <v>0.066</v>
      </c>
      <c r="G9" t="s">
        <v>375</v>
      </c>
      <c r="H9" t="s">
        <v>370</v>
      </c>
    </row>
    <row r="10" spans="1:10" ht="12.75">
      <c r="A10">
        <v>965</v>
      </c>
      <c r="B10">
        <v>9</v>
      </c>
      <c r="C10" t="s">
        <v>9</v>
      </c>
      <c r="D10">
        <v>-0.12</v>
      </c>
      <c r="E10">
        <v>2.95</v>
      </c>
      <c r="F10">
        <v>0.053</v>
      </c>
      <c r="G10" t="s">
        <v>9</v>
      </c>
      <c r="H10" t="s">
        <v>9</v>
      </c>
      <c r="I10" t="s">
        <v>376</v>
      </c>
      <c r="J10" t="s">
        <v>370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anti</dc:creator>
  <cp:keywords/>
  <dc:description/>
  <cp:lastModifiedBy>anti</cp:lastModifiedBy>
  <cp:lastPrinted>2006-01-13T12:55:40Z</cp:lastPrinted>
  <dcterms:created xsi:type="dcterms:W3CDTF">2005-10-15T15:53:34Z</dcterms:created>
  <dcterms:modified xsi:type="dcterms:W3CDTF">2008-02-06T08:24:40Z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